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8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<sst xmlns="http://schemas.openxmlformats.org/spreadsheetml/2006/main" count="63" uniqueCount="59">
  <si>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Calcul du CPA et du TCPA</t>
  </si>
  <si>
    <t xml:space="preserve">     CPA : distance minimale lors d'un croisement</t>
  </si>
  <si>
    <t xml:space="preserve">     TCPA : délai avant d'atteindre le CPA</t>
  </si>
  <si>
    <t>© Pytheas54 – Novembre 2014</t>
  </si>
  <si>
    <t>Feuille non protégée</t>
  </si>
  <si>
    <t>Référence de la méthode de calcul CPA et TCPA : Brevet US 6,249,241 B1 Jun. 19, 2001 – Jordan &amp; al. - pour l'US Navy : MARINE VESSEL TRAFFIC SYSTEM, voir page 126</t>
  </si>
  <si>
    <t>http://www.google.com/patents/US6249241</t>
  </si>
  <si>
    <t xml:space="preserve">Données à fournir par l'utilisateur </t>
  </si>
  <si>
    <t>xxx</t>
  </si>
  <si>
    <t>Ne pas modifier les autres cellules !!!</t>
  </si>
  <si>
    <t xml:space="preserve"> M = Mille marin</t>
  </si>
  <si>
    <t xml:space="preserve"> N = Noeud</t>
  </si>
  <si>
    <t xml:space="preserve"> m = mètre</t>
  </si>
  <si>
    <t xml:space="preserve"> ° = degré</t>
  </si>
  <si>
    <t xml:space="preserve"> =======================================</t>
  </si>
  <si>
    <t>Déroutement du voilier (°) : Droite+, Gauche-</t>
  </si>
  <si>
    <t xml:space="preserve"> Pour tester une manœuvre d'évitement</t>
  </si>
  <si>
    <t>RR Rotation (rad)</t>
  </si>
  <si>
    <t>Gisement du navire (°)</t>
  </si>
  <si>
    <t xml:space="preserve"> Angle sous lequel est vu le navire, compté à partir de l'axe du du voilier</t>
  </si>
  <si>
    <t>Distance du navire (M)</t>
  </si>
  <si>
    <t xml:space="preserve"> Distance du navire</t>
  </si>
  <si>
    <t>GR : Gisement (rad)</t>
  </si>
  <si>
    <t>a (x) : D*SIN(GR)  (M)</t>
  </si>
  <si>
    <t>b (y) :  D*COS(GR)  (M)</t>
  </si>
  <si>
    <t>Verif D</t>
  </si>
  <si>
    <t>Vitesse du voilier (N)</t>
  </si>
  <si>
    <t>Vx : Vitesse S1 sur x (M / min.)</t>
  </si>
  <si>
    <t>Vy : Vitesse S1 sur y (M / min.)</t>
  </si>
  <si>
    <t>Verif V</t>
  </si>
  <si>
    <t>Vitesse du navire (N)</t>
  </si>
  <si>
    <t>Vitesse S2 (M / min.)</t>
  </si>
  <si>
    <t>Route du navire (COG) (°)</t>
  </si>
  <si>
    <t>TCPA (minutes)</t>
  </si>
  <si>
    <t>CPA (M)</t>
  </si>
  <si>
    <t xml:space="preserve"> =  (m)</t>
  </si>
  <si>
    <t>Collision possible (CPA &lt; 300 m )</t>
  </si>
  <si>
    <t>Position du navire au TCPA</t>
  </si>
  <si>
    <t xml:space="preserve"> ========================================================</t>
  </si>
  <si>
    <t>Calcul TCPA et CPA</t>
  </si>
  <si>
    <t>Position S1 au TCPA</t>
  </si>
  <si>
    <t>x</t>
  </si>
  <si>
    <t>y</t>
  </si>
  <si>
    <t>GOCR S2 (rad)</t>
  </si>
  <si>
    <t>Position S2 au TCPA</t>
  </si>
  <si>
    <t>va : vitesse sur x</t>
  </si>
  <si>
    <t>vb : vitesse sur y</t>
  </si>
  <si>
    <t>Pos S2 sur x</t>
  </si>
  <si>
    <t>Pos S2 sur y</t>
  </si>
  <si>
    <t>vx</t>
  </si>
  <si>
    <t>a</t>
  </si>
  <si>
    <t>va</t>
  </si>
  <si>
    <t>vy</t>
  </si>
  <si>
    <t>b</t>
  </si>
  <si>
    <t>vb</t>
  </si>
  <si>
    <t>NUM : a.vx-a.va+b.vy-b.vb</t>
  </si>
  <si>
    <t>DENUM : vx2-2vxva+va2+vy2-2vyvb+vb2</t>
  </si>
  <si>
    <t>TCPA (= NUM/DENUM)</t>
  </si>
  <si>
    <t>S : Distance au TCPA  (M)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</si>
</sst>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0"/>
    <numFmt numFmtId="166" formatCode="0.00"/>
    <numFmt numFmtId="167" formatCode="0.0000"/>
    <numFmt numFmtId="168" formatCode="0.00000"/>
    <numFmt numFmtId="169" formatCode="#,##0.0"/>
    <numFmt numFmtId="170" formatCode="#,##0"/>
    <numFmt numFmtId="171" formatCode="#,##0.00"/>
  </numFmts>
  <fonts count="16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sz val="10"/>
      <color indexed="55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sz val="8"/>
      <color indexed="22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22"/>
      <name val="Arial"/>
      <family val="2"/>
    </font>
    <font>
      <sz val="10"/>
      <color indexed="2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2" borderId="0" xfId="0" applyFont="1" applyFill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4" fillId="0" borderId="0" xfId="0" applyFont="1" applyFill="1" applyAlignment="1">
      <alignment/>
    </xf>
    <xf numFmtId="164" fontId="4" fillId="2" borderId="0" xfId="0" applyFont="1" applyFill="1" applyAlignment="1">
      <alignment horizontal="center"/>
    </xf>
    <xf numFmtId="165" fontId="5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6" fillId="2" borderId="0" xfId="0" applyFont="1" applyFill="1" applyAlignment="1">
      <alignment horizontal="center"/>
    </xf>
    <xf numFmtId="166" fontId="6" fillId="2" borderId="0" xfId="0" applyNumberFormat="1" applyFont="1" applyFill="1" applyAlignment="1">
      <alignment horizontal="center"/>
    </xf>
    <xf numFmtId="167" fontId="0" fillId="0" borderId="0" xfId="0" applyNumberFormat="1" applyFont="1" applyAlignment="1">
      <alignment/>
    </xf>
    <xf numFmtId="164" fontId="7" fillId="0" borderId="0" xfId="0" applyFont="1" applyAlignment="1">
      <alignment horizontal="left"/>
    </xf>
    <xf numFmtId="165" fontId="7" fillId="0" borderId="0" xfId="0" applyNumberFormat="1" applyFont="1" applyAlignment="1">
      <alignment/>
    </xf>
    <xf numFmtId="164" fontId="0" fillId="0" borderId="0" xfId="0" applyAlignment="1">
      <alignment horizontal="center"/>
    </xf>
    <xf numFmtId="168" fontId="5" fillId="0" borderId="0" xfId="0" applyNumberFormat="1" applyFont="1" applyAlignment="1">
      <alignment/>
    </xf>
    <xf numFmtId="164" fontId="8" fillId="0" borderId="0" xfId="0" applyFont="1" applyFill="1" applyAlignment="1">
      <alignment/>
    </xf>
    <xf numFmtId="166" fontId="8" fillId="0" borderId="0" xfId="0" applyNumberFormat="1" applyFont="1" applyFill="1" applyAlignment="1">
      <alignment/>
    </xf>
    <xf numFmtId="164" fontId="9" fillId="0" borderId="0" xfId="0" applyFont="1" applyFill="1" applyAlignment="1">
      <alignment/>
    </xf>
    <xf numFmtId="166" fontId="10" fillId="0" borderId="0" xfId="0" applyNumberFormat="1" applyFont="1" applyFill="1" applyAlignment="1">
      <alignment/>
    </xf>
    <xf numFmtId="169" fontId="4" fillId="2" borderId="0" xfId="0" applyNumberFormat="1" applyFont="1" applyFill="1" applyAlignment="1">
      <alignment horizontal="center"/>
    </xf>
    <xf numFmtId="164" fontId="5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11" fillId="0" borderId="0" xfId="0" applyFont="1" applyFill="1" applyAlignment="1">
      <alignment/>
    </xf>
    <xf numFmtId="165" fontId="11" fillId="0" borderId="0" xfId="0" applyNumberFormat="1" applyFont="1" applyFill="1" applyAlignment="1">
      <alignment/>
    </xf>
    <xf numFmtId="164" fontId="10" fillId="0" borderId="0" xfId="0" applyFont="1" applyFill="1" applyAlignment="1">
      <alignment/>
    </xf>
    <xf numFmtId="169" fontId="6" fillId="2" borderId="0" xfId="0" applyNumberFormat="1" applyFont="1" applyFill="1" applyAlignment="1">
      <alignment horizontal="center"/>
    </xf>
    <xf numFmtId="170" fontId="6" fillId="2" borderId="0" xfId="0" applyNumberFormat="1" applyFont="1" applyFill="1" applyAlignment="1">
      <alignment horizontal="center"/>
    </xf>
    <xf numFmtId="164" fontId="12" fillId="0" borderId="0" xfId="0" applyFont="1" applyAlignment="1">
      <alignment/>
    </xf>
    <xf numFmtId="171" fontId="12" fillId="3" borderId="0" xfId="0" applyNumberFormat="1" applyFont="1" applyFill="1" applyAlignment="1">
      <alignment horizontal="center"/>
    </xf>
    <xf numFmtId="168" fontId="0" fillId="0" borderId="0" xfId="0" applyNumberFormat="1" applyAlignment="1">
      <alignment/>
    </xf>
    <xf numFmtId="167" fontId="12" fillId="0" borderId="0" xfId="0" applyNumberFormat="1" applyFont="1" applyFill="1" applyAlignment="1">
      <alignment/>
    </xf>
    <xf numFmtId="164" fontId="13" fillId="0" borderId="0" xfId="0" applyFont="1" applyAlignment="1">
      <alignment/>
    </xf>
    <xf numFmtId="165" fontId="13" fillId="3" borderId="0" xfId="0" applyNumberFormat="1" applyFont="1" applyFill="1" applyAlignment="1">
      <alignment horizontal="center"/>
    </xf>
    <xf numFmtId="170" fontId="0" fillId="3" borderId="0" xfId="0" applyNumberFormat="1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4" fillId="0" borderId="0" xfId="0" applyFont="1" applyFill="1" applyAlignment="1">
      <alignment horizontal="center"/>
    </xf>
    <xf numFmtId="164" fontId="2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11" fillId="0" borderId="0" xfId="0" applyFont="1" applyAlignment="1">
      <alignment/>
    </xf>
    <xf numFmtId="165" fontId="11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11" fillId="0" borderId="0" xfId="0" applyNumberFormat="1" applyFont="1" applyAlignment="1">
      <alignment/>
    </xf>
    <xf numFmtId="164" fontId="5" fillId="4" borderId="0" xfId="0" applyFont="1" applyFill="1" applyAlignment="1">
      <alignment/>
    </xf>
    <xf numFmtId="164" fontId="15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875"/>
          <c:w val="0.93025"/>
          <c:h val="0.832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0"/>
            <c:spPr>
              <a:ln w="38100">
                <a:noFill/>
              </a:ln>
            </c:spPr>
            <c:marker>
              <c:symbol val="triangle"/>
              <c:size val="8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Pt>
            <c:idx val="2"/>
            <c:spPr>
              <a:ln w="38100">
                <a:noFill/>
              </a:ln>
            </c:spPr>
            <c:marker>
              <c:size val="10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Pt>
            <c:idx val="3"/>
            <c:spPr>
              <a:ln w="38100">
                <a:noFill/>
              </a:ln>
            </c:spPr>
            <c:marker>
              <c:size val="10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0"/>
            </c:dLbl>
            <c:dLbl>
              <c:idx val="2"/>
            </c:dLbl>
            <c:dLbl>
              <c:idx val="3"/>
            </c:dLbl>
            <c:delete val="1"/>
          </c:dLbls>
          <c:xVal>
            <c:numRef>
              <c:f>Feuille1!$H$26:$K$26</c:f>
              <c:numCache/>
            </c:numRef>
          </c:xVal>
          <c:yVal>
            <c:numRef>
              <c:f>Feuille1!$H$27:$K$27</c:f>
              <c:numCache/>
            </c:numRef>
          </c:yVal>
          <c:smooth val="0"/>
        </c:ser>
        <c:axId val="45696315"/>
        <c:axId val="8613652"/>
      </c:scatterChart>
      <c:valAx>
        <c:axId val="45696315"/>
        <c:scaling>
          <c:orientation val="minMax"/>
          <c:max val="3"/>
          <c:min val="-3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613652"/>
        <c:crossesAt val="0"/>
        <c:crossBetween val="midCat"/>
        <c:dispUnits/>
        <c:majorUnit val="1"/>
      </c:valAx>
      <c:valAx>
        <c:axId val="8613652"/>
        <c:scaling>
          <c:orientation val="minMax"/>
          <c:max val="3"/>
          <c:min val="-3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696315"/>
        <c:crossesAt val="0"/>
        <c:crossBetween val="midCat"/>
        <c:dispUnits/>
        <c:majorUnit val="1"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723900</xdr:colOff>
      <xdr:row>24</xdr:row>
      <xdr:rowOff>104775</xdr:rowOff>
    </xdr:from>
    <xdr:to>
      <xdr:col>13</xdr:col>
      <xdr:colOff>352425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6429375" y="4057650"/>
        <a:ext cx="65722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8"/>
  <sheetViews>
    <sheetView tabSelected="1" zoomScale="95" zoomScaleNormal="95" workbookViewId="0" topLeftCell="C21">
      <selection activeCell="H16" sqref="H16"/>
    </sheetView>
  </sheetViews>
  <sheetFormatPr defaultColWidth="11.421875" defaultRowHeight="12.75"/>
  <cols>
    <col min="1" max="1" width="5.57421875" style="0" customWidth="1"/>
    <col min="2" max="2" width="16.421875" style="0" customWidth="1"/>
    <col min="3" max="3" width="45.421875" style="0" customWidth="1"/>
    <col min="4" max="4" width="18.140625" style="0" customWidth="1"/>
    <col min="5" max="16384" width="11.57421875" style="0" customWidth="1"/>
  </cols>
  <sheetData>
    <row r="2" ht="18">
      <c r="B2" s="1" t="s">
        <v>0</v>
      </c>
    </row>
    <row r="3" spans="2:3" ht="12.75">
      <c r="B3" s="2" t="s">
        <v>1</v>
      </c>
      <c r="C3" s="2"/>
    </row>
    <row r="4" spans="2:3" ht="12.75">
      <c r="B4" s="2" t="s">
        <v>2</v>
      </c>
      <c r="C4" s="2"/>
    </row>
    <row r="5" ht="12.75">
      <c r="B5" s="3" t="s">
        <v>3</v>
      </c>
    </row>
    <row r="6" ht="12.75">
      <c r="B6" s="3" t="s">
        <v>4</v>
      </c>
    </row>
    <row r="7" spans="2:9" ht="12.75">
      <c r="B7" s="4" t="s">
        <v>5</v>
      </c>
      <c r="C7" s="4"/>
      <c r="D7" s="4"/>
      <c r="E7" s="4"/>
      <c r="F7" s="4"/>
      <c r="G7" s="4"/>
      <c r="H7" s="4"/>
      <c r="I7" s="4"/>
    </row>
    <row r="8" spans="2:9" ht="12.75">
      <c r="B8" s="4" t="s">
        <v>6</v>
      </c>
      <c r="C8" s="4"/>
      <c r="D8" s="4"/>
      <c r="E8" s="4"/>
      <c r="F8" s="4"/>
      <c r="G8" s="4"/>
      <c r="H8" s="4"/>
      <c r="I8" s="4"/>
    </row>
    <row r="10" spans="3:4" ht="12.75">
      <c r="C10" s="2" t="s">
        <v>7</v>
      </c>
      <c r="D10" s="5" t="s">
        <v>8</v>
      </c>
    </row>
    <row r="11" ht="12.75">
      <c r="C11" s="3" t="s">
        <v>9</v>
      </c>
    </row>
    <row r="12" ht="12.75">
      <c r="C12" t="s">
        <v>10</v>
      </c>
    </row>
    <row r="13" ht="12.75">
      <c r="C13" t="s">
        <v>11</v>
      </c>
    </row>
    <row r="14" ht="12.75">
      <c r="C14" t="s">
        <v>12</v>
      </c>
    </row>
    <row r="15" ht="12.75">
      <c r="C15" t="s">
        <v>13</v>
      </c>
    </row>
    <row r="16" ht="12.75">
      <c r="B16" t="s">
        <v>14</v>
      </c>
    </row>
    <row r="18" spans="2:3" ht="12.75">
      <c r="B18" s="6"/>
      <c r="C18" s="7"/>
    </row>
    <row r="19" spans="3:5" ht="12.75">
      <c r="C19" s="8" t="s">
        <v>15</v>
      </c>
      <c r="D19" s="9">
        <v>25</v>
      </c>
      <c r="E19" s="6" t="s">
        <v>16</v>
      </c>
    </row>
    <row r="20" spans="3:7" ht="12.75">
      <c r="C20" s="7" t="s">
        <v>17</v>
      </c>
      <c r="D20" s="10">
        <f>RADIANS(D19)</f>
        <v>0.43633231299858205</v>
      </c>
      <c r="E20" s="11"/>
      <c r="F20" s="11"/>
      <c r="G20" s="11"/>
    </row>
    <row r="21" ht="12.75">
      <c r="B21" s="12"/>
    </row>
    <row r="22" spans="3:5" ht="12.75">
      <c r="C22" s="12" t="s">
        <v>18</v>
      </c>
      <c r="D22" s="13">
        <v>50</v>
      </c>
      <c r="E22" t="s">
        <v>19</v>
      </c>
    </row>
    <row r="23" spans="3:7" ht="12.75">
      <c r="C23" s="12" t="s">
        <v>20</v>
      </c>
      <c r="D23" s="14">
        <v>3</v>
      </c>
      <c r="E23" s="15" t="s">
        <v>21</v>
      </c>
      <c r="F23" s="15"/>
      <c r="G23" s="15"/>
    </row>
    <row r="24" spans="3:4" ht="12.75">
      <c r="C24" s="16" t="s">
        <v>22</v>
      </c>
      <c r="D24" s="17">
        <f>RADIANS(D22)</f>
        <v>0.8726646259971651</v>
      </c>
    </row>
    <row r="25" spans="3:9" ht="12.75">
      <c r="C25" s="7" t="s">
        <v>23</v>
      </c>
      <c r="D25" s="10">
        <f>D23*SIN(D24)</f>
        <v>2.29813332935693</v>
      </c>
      <c r="H25" s="18"/>
      <c r="I25" s="18"/>
    </row>
    <row r="26" spans="3:11" ht="12.75">
      <c r="C26" s="7" t="s">
        <v>24</v>
      </c>
      <c r="D26" s="10">
        <f>D23*COS(D24)</f>
        <v>1.92836282905962</v>
      </c>
      <c r="H26" s="19">
        <f aca="true" t="shared" si="0" ref="H26:H27">D50</f>
        <v>0.26083229827229804</v>
      </c>
      <c r="I26" s="19">
        <f aca="true" t="shared" si="1" ref="I26:I27">D60</f>
        <v>0.160152869157271</v>
      </c>
      <c r="J26" s="19">
        <v>0</v>
      </c>
      <c r="K26" s="19">
        <f aca="true" t="shared" si="2" ref="K26:K27">D25</f>
        <v>2.29813332935693</v>
      </c>
    </row>
    <row r="27" spans="3:11" ht="12.75">
      <c r="C27" s="20" t="s">
        <v>25</v>
      </c>
      <c r="D27" s="21">
        <f>((D25*D25)+(D26*D26))^0.5-D23</f>
        <v>0</v>
      </c>
      <c r="H27" s="19">
        <f t="shared" si="0"/>
        <v>0.559356668737357</v>
      </c>
      <c r="I27" s="19">
        <f t="shared" si="1"/>
        <v>0.6939992348411851</v>
      </c>
      <c r="J27" s="19">
        <v>0</v>
      </c>
      <c r="K27" s="19">
        <f t="shared" si="2"/>
        <v>1.92836282905962</v>
      </c>
    </row>
    <row r="28" spans="3:4" ht="12.75">
      <c r="C28" s="22"/>
      <c r="D28" s="23"/>
    </row>
    <row r="29" spans="3:4" ht="12.75">
      <c r="C29" s="8" t="s">
        <v>26</v>
      </c>
      <c r="D29" s="24">
        <v>5</v>
      </c>
    </row>
    <row r="30" spans="3:4" ht="12.75">
      <c r="C30" s="25" t="s">
        <v>27</v>
      </c>
      <c r="D30" s="26">
        <f>SIN(D20)*D29/60</f>
        <v>0.0352181884783916</v>
      </c>
    </row>
    <row r="31" spans="3:7" ht="12.75">
      <c r="C31" s="25" t="s">
        <v>28</v>
      </c>
      <c r="D31" s="26">
        <f>COS(D20)*D29/60</f>
        <v>0.0755256489197208</v>
      </c>
      <c r="E31" s="11"/>
      <c r="F31" s="11"/>
      <c r="G31" s="11"/>
    </row>
    <row r="32" spans="3:7" ht="12.75">
      <c r="C32" s="27" t="s">
        <v>29</v>
      </c>
      <c r="D32" s="28">
        <f>((((D30*D30)+(D31*D31))^0.5)*60)-D29</f>
        <v>0</v>
      </c>
      <c r="E32" s="11"/>
      <c r="F32" s="11"/>
      <c r="G32" s="11"/>
    </row>
    <row r="33" ht="12.75">
      <c r="C33" s="29"/>
    </row>
    <row r="34" spans="3:4" ht="12.75">
      <c r="C34" s="12" t="s">
        <v>30</v>
      </c>
      <c r="D34" s="30">
        <v>20</v>
      </c>
    </row>
    <row r="35" spans="3:4" ht="12.75">
      <c r="C35" s="7" t="s">
        <v>31</v>
      </c>
      <c r="D35" s="10">
        <f>D34/60</f>
        <v>0.33333333333333304</v>
      </c>
    </row>
    <row r="36" spans="3:4" ht="12.75">
      <c r="C36" s="7"/>
      <c r="D36" s="10"/>
    </row>
    <row r="37" spans="3:4" ht="12.75">
      <c r="C37" s="12" t="s">
        <v>32</v>
      </c>
      <c r="D37" s="31">
        <v>240</v>
      </c>
    </row>
    <row r="39" spans="3:7" ht="12.75">
      <c r="C39" s="32" t="s">
        <v>33</v>
      </c>
      <c r="D39" s="33">
        <f>D76</f>
        <v>7.4061815653106</v>
      </c>
      <c r="E39" s="15"/>
      <c r="F39" s="34"/>
      <c r="G39" s="34"/>
    </row>
    <row r="40" spans="3:7" ht="12.75">
      <c r="C40" s="3"/>
      <c r="D40" s="35"/>
      <c r="E40" s="15"/>
      <c r="F40" s="34"/>
      <c r="G40" s="34"/>
    </row>
    <row r="41" spans="3:7" ht="15.75">
      <c r="C41" s="36" t="s">
        <v>34</v>
      </c>
      <c r="D41" s="37">
        <f>D78</f>
        <v>0.168121884518202</v>
      </c>
      <c r="E41" s="15"/>
      <c r="F41" s="34"/>
      <c r="G41" s="34"/>
    </row>
    <row r="42" spans="3:7" ht="12.75">
      <c r="C42" t="s">
        <v>35</v>
      </c>
      <c r="D42" s="38">
        <f>D41*1852</f>
        <v>311.361730127709</v>
      </c>
      <c r="E42" s="15"/>
      <c r="F42" s="34"/>
      <c r="G42" s="34"/>
    </row>
    <row r="43" spans="4:7" ht="12.75">
      <c r="D43" s="39"/>
      <c r="E43" s="15"/>
      <c r="F43" s="34"/>
      <c r="G43" s="34"/>
    </row>
    <row r="44" spans="3:4" ht="12.75">
      <c r="C44" s="3" t="s">
        <v>36</v>
      </c>
      <c r="D44" s="40" t="str">
        <f>IF((D42&lt;300),"OUI !!!","NON")</f>
        <v>NON</v>
      </c>
    </row>
    <row r="45" spans="3:4" ht="12.75">
      <c r="C45" s="3" t="s">
        <v>37</v>
      </c>
      <c r="D45" s="41" t="str">
        <f>IF((D61-D51)&lt;0,"Derrière le voilier","Devant le voilier")</f>
        <v>Devant le voilier</v>
      </c>
    </row>
    <row r="46" ht="12.75">
      <c r="D46" s="42"/>
    </row>
    <row r="47" spans="2:4" ht="12.75">
      <c r="B47" t="s">
        <v>38</v>
      </c>
      <c r="D47" s="42"/>
    </row>
    <row r="48" spans="2:4" ht="12.75">
      <c r="B48" s="43" t="s">
        <v>39</v>
      </c>
      <c r="C48" s="7"/>
      <c r="D48" s="7"/>
    </row>
    <row r="49" spans="2:4" ht="12.75">
      <c r="B49" s="7"/>
      <c r="C49" s="43" t="s">
        <v>40</v>
      </c>
      <c r="D49" s="7"/>
    </row>
    <row r="50" spans="2:4" ht="12.75">
      <c r="B50" s="7"/>
      <c r="C50" s="7" t="s">
        <v>41</v>
      </c>
      <c r="D50" s="10">
        <f>D30*D39</f>
        <v>0.26083229827229804</v>
      </c>
    </row>
    <row r="51" spans="2:4" ht="12.75">
      <c r="B51" s="7"/>
      <c r="C51" s="7" t="s">
        <v>42</v>
      </c>
      <c r="D51" s="10">
        <f>D31*D39</f>
        <v>0.559356668737357</v>
      </c>
    </row>
    <row r="52" spans="2:4" ht="12.75">
      <c r="B52" s="7"/>
      <c r="C52" s="44" t="s">
        <v>25</v>
      </c>
      <c r="D52" s="45">
        <f>((D50*D50+D51*D51)^0.5)-(D29*D39/60)</f>
        <v>0</v>
      </c>
    </row>
    <row r="53" spans="2:4" ht="12.75">
      <c r="B53" s="7"/>
      <c r="C53" s="7"/>
      <c r="D53" s="10"/>
    </row>
    <row r="54" spans="2:4" ht="12.75">
      <c r="B54" s="7"/>
      <c r="C54" s="7" t="s">
        <v>43</v>
      </c>
      <c r="D54" s="10">
        <f>RADIANS(D37)</f>
        <v>4.18879020478639</v>
      </c>
    </row>
    <row r="55" spans="2:4" ht="12.75">
      <c r="B55" s="7"/>
      <c r="C55" s="7"/>
      <c r="D55" s="7"/>
    </row>
    <row r="56" spans="2:4" ht="12.75">
      <c r="B56" s="7"/>
      <c r="C56" s="43" t="s">
        <v>44</v>
      </c>
      <c r="D56" s="7"/>
    </row>
    <row r="57" spans="2:5" ht="12.75">
      <c r="B57" s="7"/>
      <c r="C57" s="7" t="s">
        <v>45</v>
      </c>
      <c r="D57" s="10">
        <f>D35*SIN(D54)</f>
        <v>-0.28867513459481303</v>
      </c>
      <c r="E57" s="46">
        <f aca="true" t="shared" si="3" ref="E57:E58">SIN(D54)</f>
        <v>-0.866025403784438</v>
      </c>
    </row>
    <row r="58" spans="2:5" ht="12.75">
      <c r="B58" s="7"/>
      <c r="C58" s="7" t="s">
        <v>46</v>
      </c>
      <c r="D58" s="10">
        <f>D35*COS(D54)</f>
        <v>-0.16666666666666702</v>
      </c>
      <c r="E58" s="46">
        <f t="shared" si="3"/>
        <v>0</v>
      </c>
    </row>
    <row r="59" spans="2:4" ht="12.75">
      <c r="B59" s="7"/>
      <c r="C59" s="44" t="s">
        <v>29</v>
      </c>
      <c r="D59" s="45">
        <f>((D57*D57)+(D58*D58))^0.5-D35</f>
        <v>0</v>
      </c>
    </row>
    <row r="60" spans="2:4" ht="12.75">
      <c r="B60" s="7"/>
      <c r="C60" s="7" t="s">
        <v>47</v>
      </c>
      <c r="D60" s="10">
        <f>D25+D57*D39</f>
        <v>0.160152869157271</v>
      </c>
    </row>
    <row r="61" spans="2:4" ht="12.75">
      <c r="B61" s="7"/>
      <c r="C61" s="7" t="s">
        <v>48</v>
      </c>
      <c r="D61" s="10">
        <f>D26+D58*D39</f>
        <v>0.6939992348411851</v>
      </c>
    </row>
    <row r="62" spans="2:4" ht="12.75">
      <c r="B62" s="7"/>
      <c r="C62" s="44"/>
      <c r="D62" s="47"/>
    </row>
    <row r="63" spans="2:4" ht="12.75">
      <c r="B63" s="7"/>
      <c r="C63" s="7"/>
      <c r="D63" s="7"/>
    </row>
    <row r="64" spans="2:4" ht="12.75">
      <c r="B64" s="7"/>
      <c r="C64" s="48" t="s">
        <v>41</v>
      </c>
      <c r="D64" s="48">
        <v>0</v>
      </c>
    </row>
    <row r="65" spans="2:4" ht="12.75">
      <c r="B65" s="7"/>
      <c r="C65" s="25" t="s">
        <v>49</v>
      </c>
      <c r="D65" s="25">
        <f>D30</f>
        <v>0.0352181884783916</v>
      </c>
    </row>
    <row r="66" spans="2:4" ht="12.75">
      <c r="B66" s="7"/>
      <c r="C66" s="7" t="s">
        <v>50</v>
      </c>
      <c r="D66" s="46">
        <f>D25</f>
        <v>2.29813332935693</v>
      </c>
    </row>
    <row r="67" spans="2:4" ht="12.75">
      <c r="B67" s="7"/>
      <c r="C67" s="7" t="s">
        <v>51</v>
      </c>
      <c r="D67" s="46">
        <f>D57</f>
        <v>-0.28867513459481303</v>
      </c>
    </row>
    <row r="68" spans="2:4" ht="12.75">
      <c r="B68" s="7"/>
      <c r="C68" s="48" t="s">
        <v>42</v>
      </c>
      <c r="D68" s="48">
        <v>0</v>
      </c>
    </row>
    <row r="69" spans="2:4" ht="12.75">
      <c r="B69" s="7"/>
      <c r="C69" s="7" t="s">
        <v>52</v>
      </c>
      <c r="D69" s="46">
        <f>D31</f>
        <v>0.0755256489197208</v>
      </c>
    </row>
    <row r="70" spans="2:4" ht="12.75">
      <c r="B70" s="7"/>
      <c r="C70" s="7" t="s">
        <v>53</v>
      </c>
      <c r="D70" s="46">
        <f>D26</f>
        <v>1.92836282905962</v>
      </c>
    </row>
    <row r="71" spans="2:4" ht="12.75">
      <c r="B71" s="7"/>
      <c r="C71" s="7" t="s">
        <v>54</v>
      </c>
      <c r="D71" s="10">
        <f>D58</f>
        <v>-0.16666666666666702</v>
      </c>
    </row>
    <row r="72" spans="2:4" ht="12.75">
      <c r="B72" s="7"/>
      <c r="C72" s="7"/>
      <c r="D72" s="7"/>
    </row>
    <row r="73" spans="2:4" ht="12.75">
      <c r="B73" s="7"/>
      <c r="C73" s="7" t="s">
        <v>55</v>
      </c>
      <c r="D73" s="19">
        <f>(D66*D65-D66*D67+D70*D69-D70*D71)</f>
        <v>1.21138469977137</v>
      </c>
    </row>
    <row r="74" spans="2:4" ht="12.75">
      <c r="B74" s="7"/>
      <c r="C74" s="7"/>
      <c r="D74" s="7"/>
    </row>
    <row r="75" spans="2:4" ht="12.75">
      <c r="B75" s="7"/>
      <c r="C75" s="49" t="s">
        <v>56</v>
      </c>
      <c r="D75" s="19">
        <f>D65*D65-2*D65*D67+D67*D67+D69*D69-2*D69*D71+D71*D71</f>
        <v>0.1635640024605</v>
      </c>
    </row>
    <row r="76" spans="2:4" ht="12.75">
      <c r="B76" s="7"/>
      <c r="C76" s="7" t="s">
        <v>57</v>
      </c>
      <c r="D76" s="26">
        <f>D73/D75</f>
        <v>7.4061815653106</v>
      </c>
    </row>
    <row r="77" spans="2:4" ht="12.75">
      <c r="B77" s="7"/>
      <c r="C77" s="7"/>
      <c r="D77" s="7"/>
    </row>
    <row r="78" spans="2:4" ht="12.75">
      <c r="B78" s="7"/>
      <c r="C78" s="7" t="s">
        <v>58</v>
      </c>
      <c r="D78" s="46">
        <f>((((D76*D65-(D66+D76*D67))^2)+((D76*D69)-(D70+D76*D71))^2))^0.5</f>
        <v>0.168121884518202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2014-11-19T14:17:37Z</dcterms:created>
  <dcterms:modified xsi:type="dcterms:W3CDTF">2014-11-20T16:39:52Z</dcterms:modified>
  <cp:category/>
  <cp:version/>
  <cp:contentType/>
  <cp:contentStatus/>
  <cp:revision>47</cp:revision>
</cp:coreProperties>
</file>