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0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<sst xmlns="http://schemas.openxmlformats.org/spreadsheetml/2006/main" count="69" uniqueCount="69">
  <si>
    <t>Calcul du CPA et du TCPA</t>
  </si>
  <si>
    <t xml:space="preserve">     CPA : distance minimale lors d'un croisement</t>
  </si>
  <si>
    <t xml:space="preserve">     TCPA : délai avant d'atteindre le CPA</t>
  </si>
  <si>
    <t>© Pytheas54 – Novembre 2014</t>
  </si>
  <si>
    <t>Feuille non protégée</t>
  </si>
  <si>
    <t>Référence de la méthode de calcul CPA et TCPA : Brevet US 6,249,241 B1 Jun. 19, 2001 – Jordan &amp; al. - pour l'US Navy : MARINE VESSEL TRAFFIC SYSTEM, voir page 116</t>
  </si>
  <si>
    <t>http://www.google.com/patents/US6249241</t>
  </si>
  <si>
    <t xml:space="preserve">Données à fournir par l'utilisateur </t>
  </si>
  <si>
    <t>xxx</t>
  </si>
  <si>
    <t>Ne pas modifier les autres cellules !!!</t>
  </si>
  <si>
    <t xml:space="preserve"> M = Mille marin</t>
  </si>
  <si>
    <t xml:space="preserve"> N = Noeud</t>
  </si>
  <si>
    <t xml:space="preserve"> m = mètre</t>
  </si>
  <si>
    <t xml:space="preserve"> ° = degré</t>
  </si>
  <si>
    <t>Route relative du navire : route mesurée par rapport à la vôtre prise arbitrairement comme valant 0°, c'est-à-dire plein nord</t>
  </si>
  <si>
    <t xml:space="preserve">   Exemple 1 :  un navire qui vous arrive droit devant est au 180°, plein sud (relativement à votre route)</t>
  </si>
  <si>
    <t xml:space="preserve">   Exemple 2 :  un navire qui fait route perpendiculairement à vous en venant par la droite est au 270° (plein ouest)</t>
  </si>
  <si>
    <t xml:space="preserve">   Exemple 3 :  un navire qui fait route perpendiculairement à vous en venant par lagauche est au 90° (plein est)</t>
  </si>
  <si>
    <t xml:space="preserve"> =======================================</t>
  </si>
  <si>
    <t>Déroutement du voilier (°) : Droite+, Gauche-</t>
  </si>
  <si>
    <t xml:space="preserve"> Pour tester une manœuvre d'évitement</t>
  </si>
  <si>
    <t>RR Rotation (rad)</t>
  </si>
  <si>
    <t>Gisement du navire (°)</t>
  </si>
  <si>
    <t xml:space="preserve"> Angle sous lequel est vu le navire, compté à partir de l'axe du du voilier</t>
  </si>
  <si>
    <t>Distance du navire (M)</t>
  </si>
  <si>
    <t>GR : Gisement (rad)</t>
  </si>
  <si>
    <t>D a sur x : D*SIN(GR)  (M)</t>
  </si>
  <si>
    <t>D b sur y :  D*COS(GR)  (M)</t>
  </si>
  <si>
    <t>Vérif D</t>
  </si>
  <si>
    <t>Vitesse du voilier (N)</t>
  </si>
  <si>
    <t xml:space="preserve"> vx : Vitesse voil. sur x (M / min.)</t>
  </si>
  <si>
    <t xml:space="preserve"> vy : Vitesse voil. sur y (M / min.)</t>
  </si>
  <si>
    <t>Vérif V</t>
  </si>
  <si>
    <t>Vitesse du navire (N)</t>
  </si>
  <si>
    <t>Vitesse nav. (M / min.)</t>
  </si>
  <si>
    <t>Route relative du navire (°)</t>
  </si>
  <si>
    <t>TCPA (minutes)</t>
  </si>
  <si>
    <t>CPA (M)</t>
  </si>
  <si>
    <t xml:space="preserve"> =  (m)</t>
  </si>
  <si>
    <t>Collision possible (CPA &lt; 300 m )</t>
  </si>
  <si>
    <t>Position du navire au TCPA</t>
  </si>
  <si>
    <t>Ecart sur y au TCPA (m) : neg = nav derrière</t>
  </si>
  <si>
    <t>Ecart sur x au TCPA (m) : neg = nav à bâbord</t>
  </si>
  <si>
    <t>Vérif CPA</t>
  </si>
  <si>
    <t xml:space="preserve"> ========================================================</t>
  </si>
  <si>
    <t>Calcul TCPA et CPA</t>
  </si>
  <si>
    <t>Position voil. au TCPA</t>
  </si>
  <si>
    <t>x : position voilier sur x</t>
  </si>
  <si>
    <t>y : Position voilier sur y</t>
  </si>
  <si>
    <t>Verif D</t>
  </si>
  <si>
    <t>GOCR nav. (rad)</t>
  </si>
  <si>
    <t>Position nav. au TCPA</t>
  </si>
  <si>
    <t>va : vitesse nav. sur x</t>
  </si>
  <si>
    <t>vb : vitesse nav. Sur y</t>
  </si>
  <si>
    <t>Verif V</t>
  </si>
  <si>
    <t>Position nav. sur x</t>
  </si>
  <si>
    <t>Pos nav. sur y</t>
  </si>
  <si>
    <t>x0</t>
  </si>
  <si>
    <t>vx</t>
  </si>
  <si>
    <t>a</t>
  </si>
  <si>
    <t>va</t>
  </si>
  <si>
    <t>y0</t>
  </si>
  <si>
    <t>vy</t>
  </si>
  <si>
    <t>b</t>
  </si>
  <si>
    <t>vb</t>
  </si>
  <si>
    <t>NUM : a.vx-a.va+b.vy-b.vb</t>
  </si>
  <si>
    <t>DENUM : vx2-2vxva+va2+vy2-2vyvb+vb2</t>
  </si>
  <si>
    <t>TCPA (= NUM/DENUM)</t>
  </si>
  <si>
    <t>CPA  (M) :((t.vx-(a+t.va))2 +( t.vy-(b+t.vb))2)^0.5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</si>
</sst>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.000"/>
    <numFmt numFmtId="166" formatCode="0.00"/>
    <numFmt numFmtId="167" formatCode="0.0000"/>
    <numFmt numFmtId="168" formatCode="0.00000"/>
    <numFmt numFmtId="169" formatCode="#,##0.0"/>
    <numFmt numFmtId="170" formatCode="#,##0"/>
    <numFmt numFmtId="171" formatCode="#,##0.00"/>
    <numFmt numFmtId="172" formatCode="0"/>
  </numFmts>
  <fonts count="17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10"/>
      <color indexed="10"/>
      <name val="Arial"/>
      <family val="2"/>
    </font>
    <font>
      <sz val="10"/>
      <color indexed="55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sz val="10"/>
      <color indexed="8"/>
      <name val="Arial"/>
      <family val="2"/>
    </font>
    <font>
      <sz val="8"/>
      <color indexed="22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22"/>
      <name val="Arial"/>
      <family val="2"/>
    </font>
    <font>
      <sz val="10"/>
      <color indexed="22"/>
      <name val="Times New Roman"/>
      <family val="1"/>
    </font>
    <font>
      <sz val="13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0" fillId="2" borderId="0" xfId="0" applyFont="1" applyFill="1" applyAlignment="1">
      <alignment horizontal="center"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4" fillId="0" borderId="0" xfId="0" applyFont="1" applyFill="1" applyAlignment="1">
      <alignment/>
    </xf>
    <xf numFmtId="164" fontId="4" fillId="2" borderId="0" xfId="0" applyFont="1" applyFill="1" applyAlignment="1">
      <alignment horizontal="center"/>
    </xf>
    <xf numFmtId="165" fontId="5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6" fillId="2" borderId="0" xfId="0" applyFont="1" applyFill="1" applyAlignment="1">
      <alignment horizontal="center"/>
    </xf>
    <xf numFmtId="166" fontId="6" fillId="2" borderId="0" xfId="0" applyNumberFormat="1" applyFont="1" applyFill="1" applyAlignment="1">
      <alignment horizontal="center"/>
    </xf>
    <xf numFmtId="167" fontId="0" fillId="0" borderId="0" xfId="0" applyNumberFormat="1" applyAlignment="1">
      <alignment/>
    </xf>
    <xf numFmtId="164" fontId="7" fillId="0" borderId="0" xfId="0" applyFont="1" applyAlignment="1">
      <alignment horizontal="left"/>
    </xf>
    <xf numFmtId="165" fontId="7" fillId="0" borderId="0" xfId="0" applyNumberFormat="1" applyFont="1" applyAlignment="1">
      <alignment/>
    </xf>
    <xf numFmtId="164" fontId="0" fillId="0" borderId="0" xfId="0" applyAlignment="1">
      <alignment horizontal="center"/>
    </xf>
    <xf numFmtId="168" fontId="5" fillId="0" borderId="0" xfId="0" applyNumberFormat="1" applyFont="1" applyAlignment="1">
      <alignment/>
    </xf>
    <xf numFmtId="164" fontId="8" fillId="0" borderId="0" xfId="0" applyFont="1" applyFill="1" applyAlignment="1">
      <alignment/>
    </xf>
    <xf numFmtId="166" fontId="8" fillId="0" borderId="0" xfId="0" applyNumberFormat="1" applyFont="1" applyFill="1" applyAlignment="1">
      <alignment/>
    </xf>
    <xf numFmtId="164" fontId="9" fillId="0" borderId="0" xfId="0" applyFont="1" applyFill="1" applyAlignment="1">
      <alignment/>
    </xf>
    <xf numFmtId="166" fontId="10" fillId="0" borderId="0" xfId="0" applyNumberFormat="1" applyFont="1" applyFill="1" applyAlignment="1">
      <alignment/>
    </xf>
    <xf numFmtId="169" fontId="4" fillId="2" borderId="0" xfId="0" applyNumberFormat="1" applyFont="1" applyFill="1" applyAlignment="1">
      <alignment horizontal="center"/>
    </xf>
    <xf numFmtId="164" fontId="5" fillId="0" borderId="0" xfId="0" applyFont="1" applyFill="1" applyAlignment="1">
      <alignment/>
    </xf>
    <xf numFmtId="165" fontId="5" fillId="0" borderId="0" xfId="0" applyNumberFormat="1" applyFont="1" applyFill="1" applyAlignment="1">
      <alignment/>
    </xf>
    <xf numFmtId="164" fontId="11" fillId="0" borderId="0" xfId="0" applyFont="1" applyFill="1" applyAlignment="1">
      <alignment/>
    </xf>
    <xf numFmtId="165" fontId="11" fillId="0" borderId="0" xfId="0" applyNumberFormat="1" applyFont="1" applyFill="1" applyAlignment="1">
      <alignment/>
    </xf>
    <xf numFmtId="164" fontId="10" fillId="0" borderId="0" xfId="0" applyFont="1" applyFill="1" applyAlignment="1">
      <alignment/>
    </xf>
    <xf numFmtId="169" fontId="6" fillId="2" borderId="0" xfId="0" applyNumberFormat="1" applyFont="1" applyFill="1" applyAlignment="1">
      <alignment horizontal="center"/>
    </xf>
    <xf numFmtId="170" fontId="6" fillId="2" borderId="0" xfId="0" applyNumberFormat="1" applyFont="1" applyFill="1" applyAlignment="1">
      <alignment horizontal="center"/>
    </xf>
    <xf numFmtId="164" fontId="12" fillId="0" borderId="0" xfId="0" applyFont="1" applyAlignment="1">
      <alignment/>
    </xf>
    <xf numFmtId="171" fontId="12" fillId="3" borderId="0" xfId="0" applyNumberFormat="1" applyFont="1" applyFill="1" applyAlignment="1">
      <alignment horizontal="center"/>
    </xf>
    <xf numFmtId="168" fontId="0" fillId="0" borderId="0" xfId="0" applyNumberFormat="1" applyAlignment="1">
      <alignment/>
    </xf>
    <xf numFmtId="167" fontId="12" fillId="0" borderId="0" xfId="0" applyNumberFormat="1" applyFont="1" applyFill="1" applyAlignment="1">
      <alignment/>
    </xf>
    <xf numFmtId="164" fontId="13" fillId="0" borderId="0" xfId="0" applyFont="1" applyAlignment="1">
      <alignment/>
    </xf>
    <xf numFmtId="165" fontId="13" fillId="3" borderId="0" xfId="0" applyNumberFormat="1" applyFont="1" applyFill="1" applyAlignment="1">
      <alignment horizontal="center"/>
    </xf>
    <xf numFmtId="170" fontId="0" fillId="3" borderId="0" xfId="0" applyNumberFormat="1" applyFont="1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4" fillId="0" borderId="0" xfId="0" applyFont="1" applyFill="1" applyAlignment="1">
      <alignment horizontal="center"/>
    </xf>
    <xf numFmtId="170" fontId="0" fillId="0" borderId="0" xfId="0" applyNumberFormat="1" applyAlignment="1">
      <alignment/>
    </xf>
    <xf numFmtId="164" fontId="7" fillId="0" borderId="0" xfId="0" applyFont="1" applyAlignment="1">
      <alignment/>
    </xf>
    <xf numFmtId="172" fontId="7" fillId="0" borderId="0" xfId="0" applyNumberFormat="1" applyFont="1" applyAlignment="1">
      <alignment horizontal="center"/>
    </xf>
    <xf numFmtId="170" fontId="7" fillId="0" borderId="0" xfId="0" applyNumberFormat="1" applyFont="1" applyAlignment="1">
      <alignment horizontal="center"/>
    </xf>
    <xf numFmtId="164" fontId="11" fillId="0" borderId="0" xfId="0" applyFont="1" applyAlignment="1">
      <alignment/>
    </xf>
    <xf numFmtId="166" fontId="11" fillId="0" borderId="0" xfId="0" applyNumberFormat="1" applyFont="1" applyAlignment="1">
      <alignment horizontal="center"/>
    </xf>
    <xf numFmtId="172" fontId="11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64" fontId="14" fillId="0" borderId="0" xfId="0" applyFont="1" applyAlignment="1">
      <alignment/>
    </xf>
    <xf numFmtId="167" fontId="5" fillId="0" borderId="0" xfId="0" applyNumberFormat="1" applyFont="1" applyAlignment="1">
      <alignment/>
    </xf>
    <xf numFmtId="167" fontId="11" fillId="0" borderId="0" xfId="0" applyNumberFormat="1" applyFont="1" applyAlignment="1">
      <alignment/>
    </xf>
    <xf numFmtId="164" fontId="5" fillId="4" borderId="0" xfId="0" applyFont="1" applyFill="1" applyAlignment="1">
      <alignment/>
    </xf>
    <xf numFmtId="167" fontId="5" fillId="4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164" fontId="15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Triangle = voilier, étoile = navire au TCPA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75"/>
          <c:y val="0.13525"/>
          <c:w val="0.90325"/>
          <c:h val="0.800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0"/>
            <c:spPr>
              <a:ln w="38100">
                <a:noFill/>
              </a:ln>
            </c:spPr>
            <c:marker>
              <c:symbol val="triangle"/>
              <c:size val="8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1"/>
            <c:spPr>
              <a:ln w="38100">
                <a:noFill/>
              </a:ln>
            </c:spPr>
            <c:marker>
              <c:symbol val="star"/>
              <c:size val="9"/>
              <c:spPr>
                <a:noFill/>
                <a:ln>
                  <a:solidFill>
                    <a:srgbClr val="004586"/>
                  </a:solidFill>
                </a:ln>
              </c:spPr>
            </c:marker>
          </c:dPt>
          <c:dPt>
            <c:idx val="2"/>
            <c:spPr>
              <a:ln w="38100">
                <a:noFill/>
              </a:ln>
            </c:spPr>
            <c:marker>
              <c:size val="10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Pt>
            <c:idx val="3"/>
            <c:spPr>
              <a:ln w="38100">
                <a:noFill/>
              </a:ln>
            </c:spPr>
            <c:marker>
              <c:symbol val="circle"/>
              <c:size val="8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0"/>
            </c:dLbl>
            <c:dLbl>
              <c:idx val="1"/>
            </c:dLbl>
            <c:dLbl>
              <c:idx val="2"/>
            </c:dLbl>
            <c:dLbl>
              <c:idx val="3"/>
            </c:dLbl>
            <c:delete val="1"/>
          </c:dLbls>
          <c:xVal>
            <c:numRef>
              <c:f>Feuille1!$H$30:$K$30</c:f>
              <c:numCache/>
            </c:numRef>
          </c:xVal>
          <c:yVal>
            <c:numRef>
              <c:f>Feuille1!$H$31:$K$31</c:f>
              <c:numCache/>
            </c:numRef>
          </c:yVal>
          <c:smooth val="0"/>
        </c:ser>
        <c:axId val="53185664"/>
        <c:axId val="8908929"/>
      </c:scatterChart>
      <c:valAx>
        <c:axId val="53185664"/>
        <c:scaling>
          <c:orientation val="minMax"/>
          <c:max val="3"/>
          <c:min val="-3"/>
        </c:scaling>
        <c:axPos val="b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908929"/>
        <c:crossesAt val="0"/>
        <c:crossBetween val="midCat"/>
        <c:dispUnits/>
        <c:majorUnit val="1"/>
      </c:valAx>
      <c:valAx>
        <c:axId val="8908929"/>
        <c:scaling>
          <c:orientation val="minMax"/>
          <c:max val="3"/>
          <c:min val="-3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185664"/>
        <c:crossesAt val="0"/>
        <c:crossBetween val="midCat"/>
        <c:dispUnits/>
        <c:majorUnit val="1"/>
      </c:valAx>
      <c:spPr>
        <a:noFill/>
        <a:ln w="3175">
          <a:solidFill>
            <a:srgbClr val="B3B3B3"/>
          </a:solidFill>
        </a:ln>
      </c:spPr>
    </c:plotArea>
    <c:plotVisOnly val="1"/>
    <c:dispBlanksAs val="span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666750</xdr:colOff>
      <xdr:row>26</xdr:row>
      <xdr:rowOff>28575</xdr:rowOff>
    </xdr:from>
    <xdr:to>
      <xdr:col>13</xdr:col>
      <xdr:colOff>304800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6372225" y="4305300"/>
        <a:ext cx="6581775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83"/>
  <sheetViews>
    <sheetView tabSelected="1" zoomScale="95" zoomScaleNormal="95" workbookViewId="0" topLeftCell="A1">
      <selection activeCell="O36" sqref="O36"/>
    </sheetView>
  </sheetViews>
  <sheetFormatPr defaultColWidth="11.421875" defaultRowHeight="12.75"/>
  <cols>
    <col min="1" max="1" width="5.57421875" style="0" customWidth="1"/>
    <col min="2" max="2" width="16.421875" style="0" customWidth="1"/>
    <col min="3" max="3" width="45.421875" style="0" customWidth="1"/>
    <col min="4" max="4" width="18.140625" style="0" customWidth="1"/>
    <col min="5" max="16384" width="11.57421875" style="0" customWidth="1"/>
  </cols>
  <sheetData>
    <row r="2" ht="18">
      <c r="B2" s="1" t="s">
        <v>0</v>
      </c>
    </row>
    <row r="3" spans="2:3" ht="12.75">
      <c r="B3" s="2" t="s">
        <v>1</v>
      </c>
      <c r="C3" s="2"/>
    </row>
    <row r="4" spans="2:3" ht="12.75">
      <c r="B4" s="2" t="s">
        <v>2</v>
      </c>
      <c r="C4" s="2"/>
    </row>
    <row r="5" ht="12.75">
      <c r="B5" s="3" t="s">
        <v>3</v>
      </c>
    </row>
    <row r="6" ht="12.75">
      <c r="B6" s="3" t="s">
        <v>4</v>
      </c>
    </row>
    <row r="7" spans="2:9" ht="12.75">
      <c r="B7" s="4" t="s">
        <v>5</v>
      </c>
      <c r="C7" s="4"/>
      <c r="D7" s="4"/>
      <c r="E7" s="4"/>
      <c r="F7" s="4"/>
      <c r="G7" s="4"/>
      <c r="H7" s="4"/>
      <c r="I7" s="4"/>
    </row>
    <row r="8" spans="2:9" ht="12.75">
      <c r="B8" s="4" t="s">
        <v>6</v>
      </c>
      <c r="C8" s="4"/>
      <c r="D8" s="4"/>
      <c r="E8" s="4"/>
      <c r="F8" s="4"/>
      <c r="G8" s="4"/>
      <c r="H8" s="4"/>
      <c r="I8" s="4"/>
    </row>
    <row r="10" spans="3:4" ht="12.75">
      <c r="C10" s="2" t="s">
        <v>7</v>
      </c>
      <c r="D10" s="5" t="s">
        <v>8</v>
      </c>
    </row>
    <row r="11" ht="12.75">
      <c r="C11" s="3" t="s">
        <v>9</v>
      </c>
    </row>
    <row r="12" ht="12.75">
      <c r="C12" t="s">
        <v>10</v>
      </c>
    </row>
    <row r="13" ht="12.75">
      <c r="C13" t="s">
        <v>11</v>
      </c>
    </row>
    <row r="14" ht="12.75">
      <c r="C14" t="s">
        <v>12</v>
      </c>
    </row>
    <row r="15" ht="12.75">
      <c r="C15" t="s">
        <v>13</v>
      </c>
    </row>
    <row r="16" ht="12.75">
      <c r="C16" s="3" t="s">
        <v>14</v>
      </c>
    </row>
    <row r="17" ht="12.75">
      <c r="C17" t="s">
        <v>15</v>
      </c>
    </row>
    <row r="18" ht="12.75">
      <c r="C18" t="s">
        <v>16</v>
      </c>
    </row>
    <row r="19" ht="12.75">
      <c r="C19" t="s">
        <v>17</v>
      </c>
    </row>
    <row r="20" ht="12.75">
      <c r="B20" t="s">
        <v>18</v>
      </c>
    </row>
    <row r="22" spans="2:3" ht="12.75">
      <c r="B22" s="6"/>
      <c r="C22" s="7"/>
    </row>
    <row r="23" spans="3:5" ht="12.75">
      <c r="C23" s="8" t="s">
        <v>19</v>
      </c>
      <c r="D23" s="9">
        <v>0</v>
      </c>
      <c r="E23" s="6" t="s">
        <v>20</v>
      </c>
    </row>
    <row r="24" spans="3:7" ht="12.75">
      <c r="C24" s="7" t="s">
        <v>21</v>
      </c>
      <c r="D24" s="10">
        <f>RADIANS(D23)</f>
        <v>0</v>
      </c>
      <c r="E24" s="11"/>
      <c r="F24" s="11"/>
      <c r="G24" s="11"/>
    </row>
    <row r="25" ht="12.75">
      <c r="B25" s="12"/>
    </row>
    <row r="26" spans="3:5" ht="12.75">
      <c r="C26" s="12" t="s">
        <v>22</v>
      </c>
      <c r="D26" s="13">
        <v>50</v>
      </c>
      <c r="E26" t="s">
        <v>23</v>
      </c>
    </row>
    <row r="27" spans="3:7" ht="12.75">
      <c r="C27" s="12" t="s">
        <v>24</v>
      </c>
      <c r="D27" s="14">
        <v>3</v>
      </c>
      <c r="E27" s="15"/>
      <c r="F27" s="15"/>
      <c r="G27" s="15"/>
    </row>
    <row r="28" spans="3:4" ht="12.75">
      <c r="C28" s="16" t="s">
        <v>25</v>
      </c>
      <c r="D28" s="17">
        <f>RADIANS(D26)</f>
        <v>0.8726646259971648</v>
      </c>
    </row>
    <row r="29" spans="3:9" ht="12.75">
      <c r="C29" s="7" t="s">
        <v>26</v>
      </c>
      <c r="D29" s="10">
        <f>D27*SIN(D28)</f>
        <v>2.298133329356934</v>
      </c>
      <c r="H29" s="18"/>
      <c r="I29" s="18"/>
    </row>
    <row r="30" spans="3:11" ht="12.75">
      <c r="C30" s="7" t="s">
        <v>27</v>
      </c>
      <c r="D30" s="10">
        <f>D27*COS(D28)</f>
        <v>1.9283628290596182</v>
      </c>
      <c r="H30" s="19">
        <f aca="true" t="shared" si="0" ref="H30:H31">D57</f>
        <v>0</v>
      </c>
      <c r="I30" s="19">
        <f aca="true" t="shared" si="1" ref="I30:I31">D67</f>
        <v>-0.10662322483418629</v>
      </c>
      <c r="J30" s="19">
        <v>0</v>
      </c>
      <c r="K30" s="19">
        <f aca="true" t="shared" si="2" ref="K30:K31">D29</f>
        <v>2.298133329356934</v>
      </c>
    </row>
    <row r="31" spans="3:11" ht="12.75">
      <c r="C31" s="20" t="s">
        <v>28</v>
      </c>
      <c r="D31" s="21">
        <f>((D29*D29)+(D30*D30))^0.5-D27</f>
        <v>0</v>
      </c>
      <c r="H31" s="19">
        <f t="shared" si="0"/>
        <v>0.6633388205937027</v>
      </c>
      <c r="I31" s="19">
        <f t="shared" si="1"/>
        <v>0.8070064318418737</v>
      </c>
      <c r="J31" s="19">
        <v>0</v>
      </c>
      <c r="K31" s="19">
        <f t="shared" si="2"/>
        <v>1.9283628290596182</v>
      </c>
    </row>
    <row r="32" spans="3:4" ht="12.75">
      <c r="C32" s="22"/>
      <c r="D32" s="23"/>
    </row>
    <row r="33" spans="3:4" ht="12.75">
      <c r="C33" s="8" t="s">
        <v>29</v>
      </c>
      <c r="D33" s="24">
        <v>5</v>
      </c>
    </row>
    <row r="34" spans="3:4" ht="12.75">
      <c r="C34" s="25" t="s">
        <v>30</v>
      </c>
      <c r="D34" s="26">
        <f>SIN(D24)*D33/60</f>
        <v>0</v>
      </c>
    </row>
    <row r="35" spans="3:7" ht="12.75">
      <c r="C35" s="25" t="s">
        <v>31</v>
      </c>
      <c r="D35" s="26">
        <f>COS(D24)*D33/60</f>
        <v>0.08333333333333333</v>
      </c>
      <c r="E35" s="11"/>
      <c r="F35" s="11"/>
      <c r="G35" s="11"/>
    </row>
    <row r="36" spans="3:7" ht="12.75">
      <c r="C36" s="27" t="s">
        <v>32</v>
      </c>
      <c r="D36" s="28">
        <f>((((D34*D34)+(D35*D35))^0.5)*60)-D33</f>
        <v>0</v>
      </c>
      <c r="E36" s="11"/>
      <c r="F36" s="11"/>
      <c r="G36" s="11"/>
    </row>
    <row r="37" ht="12.75">
      <c r="C37" s="29"/>
    </row>
    <row r="38" spans="3:4" ht="12.75">
      <c r="C38" s="12" t="s">
        <v>33</v>
      </c>
      <c r="D38" s="30">
        <v>20</v>
      </c>
    </row>
    <row r="39" spans="3:4" ht="12.75">
      <c r="C39" s="7" t="s">
        <v>34</v>
      </c>
      <c r="D39" s="10">
        <f>D38/60</f>
        <v>0.3333333333333333</v>
      </c>
    </row>
    <row r="40" spans="3:4" ht="12.75">
      <c r="C40" s="7"/>
      <c r="D40" s="10"/>
    </row>
    <row r="41" spans="3:4" ht="12.75">
      <c r="C41" s="12" t="s">
        <v>35</v>
      </c>
      <c r="D41" s="31">
        <v>245</v>
      </c>
    </row>
    <row r="43" spans="3:7" ht="12.75">
      <c r="C43" s="32" t="s">
        <v>36</v>
      </c>
      <c r="D43" s="33">
        <f>D82</f>
        <v>7.960065847124433</v>
      </c>
      <c r="E43" s="15"/>
      <c r="F43" s="34"/>
      <c r="G43" s="34"/>
    </row>
    <row r="44" spans="3:7" ht="12.75">
      <c r="C44" s="3"/>
      <c r="D44" s="35"/>
      <c r="E44" s="15"/>
      <c r="F44" s="34"/>
      <c r="G44" s="34"/>
    </row>
    <row r="45" spans="3:7" ht="15.75">
      <c r="C45" s="36" t="s">
        <v>37</v>
      </c>
      <c r="D45" s="37">
        <f>D83</f>
        <v>0.17891029762368912</v>
      </c>
      <c r="E45" s="15"/>
      <c r="F45" s="34"/>
      <c r="G45" s="34"/>
    </row>
    <row r="46" spans="3:7" ht="12.75">
      <c r="C46" t="s">
        <v>38</v>
      </c>
      <c r="D46" s="38">
        <f>D45*1852</f>
        <v>331.3418711990723</v>
      </c>
      <c r="E46" s="15"/>
      <c r="F46" s="34"/>
      <c r="G46" s="34"/>
    </row>
    <row r="47" spans="4:7" ht="12.75">
      <c r="D47" s="39"/>
      <c r="E47" s="15"/>
      <c r="F47" s="34"/>
      <c r="G47" s="34"/>
    </row>
    <row r="48" spans="3:4" ht="12.75">
      <c r="C48" s="3" t="s">
        <v>39</v>
      </c>
      <c r="D48" s="40">
        <f>IF((D46&lt;300),"OUI !!!","NON")</f>
        <v>0</v>
      </c>
    </row>
    <row r="49" spans="3:5" ht="12.75">
      <c r="C49" s="3" t="s">
        <v>40</v>
      </c>
      <c r="D49" s="41">
        <f>IF((D68-D58)&lt;0,"Derrière le voilier","Devant le voilier")</f>
        <v>0</v>
      </c>
      <c r="E49" s="42"/>
    </row>
    <row r="50" spans="3:4" ht="12.75">
      <c r="C50" s="43" t="s">
        <v>41</v>
      </c>
      <c r="D50" s="44">
        <f>(D68-D58)*1852</f>
        <v>266.0724160316126</v>
      </c>
    </row>
    <row r="51" spans="3:4" ht="12.75">
      <c r="C51" s="43" t="s">
        <v>42</v>
      </c>
      <c r="D51" s="45">
        <f>(D67-D57)*1852</f>
        <v>-197.466212392913</v>
      </c>
    </row>
    <row r="52" spans="3:4" ht="12.75">
      <c r="C52" s="46" t="s">
        <v>43</v>
      </c>
      <c r="D52" s="47">
        <f>(D50*D50+D51*D51)^0.5-D46</f>
        <v>0</v>
      </c>
    </row>
    <row r="53" spans="3:4" ht="12.75">
      <c r="C53" s="46"/>
      <c r="D53" s="48"/>
    </row>
    <row r="54" spans="2:4" ht="12.75">
      <c r="B54" t="s">
        <v>44</v>
      </c>
      <c r="D54" s="49"/>
    </row>
    <row r="55" spans="2:4" ht="12.75">
      <c r="B55" s="50" t="s">
        <v>45</v>
      </c>
      <c r="C55" s="7"/>
      <c r="D55" s="7"/>
    </row>
    <row r="56" spans="2:4" ht="12.75">
      <c r="B56" s="7"/>
      <c r="C56" s="50" t="s">
        <v>46</v>
      </c>
      <c r="D56" s="7"/>
    </row>
    <row r="57" spans="2:4" ht="12.75">
      <c r="B57" s="7"/>
      <c r="C57" s="7" t="s">
        <v>47</v>
      </c>
      <c r="D57" s="51">
        <f>D34*D43</f>
        <v>0</v>
      </c>
    </row>
    <row r="58" spans="2:4" ht="12.75">
      <c r="B58" s="7"/>
      <c r="C58" s="7" t="s">
        <v>48</v>
      </c>
      <c r="D58" s="51">
        <f>D35*D43</f>
        <v>0.6633388205937027</v>
      </c>
    </row>
    <row r="59" spans="2:4" ht="12.75">
      <c r="B59" s="7"/>
      <c r="C59" s="46" t="s">
        <v>49</v>
      </c>
      <c r="D59" s="52">
        <f>((D57*D57+D58*D58)^0.5)-(D33*D43/60)</f>
        <v>0</v>
      </c>
    </row>
    <row r="60" spans="2:4" ht="12.75">
      <c r="B60" s="7"/>
      <c r="C60" s="7"/>
      <c r="D60" s="51"/>
    </row>
    <row r="61" spans="2:4" ht="12.75">
      <c r="B61" s="7"/>
      <c r="C61" s="7" t="s">
        <v>50</v>
      </c>
      <c r="D61" s="51">
        <f>RADIANS(D41)</f>
        <v>4.276056667386108</v>
      </c>
    </row>
    <row r="62" spans="2:4" ht="12.75">
      <c r="B62" s="7"/>
      <c r="C62" s="7"/>
      <c r="D62" s="51"/>
    </row>
    <row r="63" spans="2:4" ht="12.75">
      <c r="B63" s="7"/>
      <c r="C63" s="50" t="s">
        <v>51</v>
      </c>
      <c r="D63" s="51"/>
    </row>
    <row r="64" spans="2:5" ht="12.75">
      <c r="B64" s="7"/>
      <c r="C64" s="7" t="s">
        <v>52</v>
      </c>
      <c r="D64" s="51">
        <f>D39*SIN(D61)</f>
        <v>-0.3021025956788833</v>
      </c>
      <c r="E64" s="51">
        <f aca="true" t="shared" si="3" ref="E64:E65">SIN(D61)</f>
        <v>-0.90630778703665</v>
      </c>
    </row>
    <row r="65" spans="2:5" ht="12.75">
      <c r="B65" s="7"/>
      <c r="C65" s="7" t="s">
        <v>53</v>
      </c>
      <c r="D65" s="51">
        <f>D39*COS(D61)</f>
        <v>-0.14087275391356638</v>
      </c>
      <c r="E65" s="51">
        <f t="shared" si="3"/>
        <v>0</v>
      </c>
    </row>
    <row r="66" spans="2:4" ht="12.75">
      <c r="B66" s="7"/>
      <c r="C66" s="46" t="s">
        <v>54</v>
      </c>
      <c r="D66" s="52">
        <f>((D64*D64)+(D65*D65))^0.5-D39</f>
        <v>0</v>
      </c>
    </row>
    <row r="67" spans="2:4" ht="12.75">
      <c r="B67" s="7"/>
      <c r="C67" s="7" t="s">
        <v>55</v>
      </c>
      <c r="D67" s="51">
        <f>D29+D64*D43</f>
        <v>-0.10662322483418629</v>
      </c>
    </row>
    <row r="68" spans="2:4" ht="12.75">
      <c r="B68" s="7"/>
      <c r="C68" s="7" t="s">
        <v>56</v>
      </c>
      <c r="D68" s="51">
        <f>D30+D65*D43</f>
        <v>0.8070064318418737</v>
      </c>
    </row>
    <row r="69" spans="2:4" ht="12.75">
      <c r="B69" s="7"/>
      <c r="C69" s="46"/>
      <c r="D69" s="52"/>
    </row>
    <row r="70" spans="2:4" ht="12.75">
      <c r="B70" s="7"/>
      <c r="C70" s="7"/>
      <c r="D70" s="51"/>
    </row>
    <row r="71" spans="2:4" ht="12.75">
      <c r="B71" s="7"/>
      <c r="C71" s="53" t="s">
        <v>57</v>
      </c>
      <c r="D71" s="54">
        <v>0</v>
      </c>
    </row>
    <row r="72" spans="2:4" ht="12.75">
      <c r="B72" s="7"/>
      <c r="C72" s="25" t="s">
        <v>58</v>
      </c>
      <c r="D72" s="55">
        <f>D34</f>
        <v>0</v>
      </c>
    </row>
    <row r="73" spans="2:4" ht="12.75">
      <c r="B73" s="7"/>
      <c r="C73" s="7" t="s">
        <v>59</v>
      </c>
      <c r="D73" s="51">
        <f>D29</f>
        <v>2.298133329356934</v>
      </c>
    </row>
    <row r="74" spans="2:4" ht="12.75">
      <c r="B74" s="7"/>
      <c r="C74" s="7" t="s">
        <v>60</v>
      </c>
      <c r="D74" s="51">
        <f>D64</f>
        <v>-0.3021025956788833</v>
      </c>
    </row>
    <row r="75" spans="2:4" ht="12.75">
      <c r="B75" s="7"/>
      <c r="C75" s="53" t="s">
        <v>61</v>
      </c>
      <c r="D75" s="54">
        <v>0</v>
      </c>
    </row>
    <row r="76" spans="2:4" ht="12.75">
      <c r="B76" s="7"/>
      <c r="C76" s="7" t="s">
        <v>62</v>
      </c>
      <c r="D76" s="51">
        <f>D35</f>
        <v>0.08333333333333333</v>
      </c>
    </row>
    <row r="77" spans="2:4" ht="12.75">
      <c r="B77" s="7"/>
      <c r="C77" s="7" t="s">
        <v>63</v>
      </c>
      <c r="D77" s="51">
        <f>D30</f>
        <v>1.9283628290596182</v>
      </c>
    </row>
    <row r="78" spans="2:4" ht="12.75">
      <c r="B78" s="7"/>
      <c r="C78" s="7" t="s">
        <v>64</v>
      </c>
      <c r="D78" s="51">
        <f>D65</f>
        <v>-0.14087275391356638</v>
      </c>
    </row>
    <row r="79" spans="2:4" ht="12.75">
      <c r="B79" s="7"/>
      <c r="C79" s="7"/>
      <c r="D79" s="51"/>
    </row>
    <row r="80" spans="2:4" ht="12.75">
      <c r="B80" s="7"/>
      <c r="C80" s="7" t="s">
        <v>65</v>
      </c>
      <c r="D80" s="51">
        <f>(D73*D72-D73*D74+D77*D76-D77*D78)</f>
        <v>1.126622728710703</v>
      </c>
    </row>
    <row r="81" spans="2:4" ht="12.75">
      <c r="B81" s="7"/>
      <c r="C81" s="56" t="s">
        <v>66</v>
      </c>
      <c r="D81" s="51">
        <f>D72*D72-2*D72*D74+D74*D74+D76*D76-2*D76*D78+D78*D78</f>
        <v>0.14153434787448327</v>
      </c>
    </row>
    <row r="82" spans="2:4" ht="12.75">
      <c r="B82" s="7"/>
      <c r="C82" s="7" t="s">
        <v>67</v>
      </c>
      <c r="D82" s="55">
        <f>D80/D81</f>
        <v>7.960065847124433</v>
      </c>
    </row>
    <row r="83" spans="2:4" ht="12.75">
      <c r="B83" s="7"/>
      <c r="C83" s="7" t="s">
        <v>68</v>
      </c>
      <c r="D83" s="51">
        <f>((((D82*D72-(D73+D82*D74))^2)+((D82*D76)-(D77+D82*D78))^2))^0.5</f>
        <v>0.17891029762368912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2014-11-19T14:17:37Z</dcterms:created>
  <dcterms:modified xsi:type="dcterms:W3CDTF">2014-11-21T10:43:45Z</dcterms:modified>
  <cp:category/>
  <cp:version/>
  <cp:contentType/>
  <cp:contentStatus/>
  <cp:revision>63</cp:revision>
</cp:coreProperties>
</file>