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135" windowWidth="16845" windowHeight="13620" tabRatio="548" activeTab="0"/>
  </bookViews>
  <sheets>
    <sheet name="MINIBEE" sheetId="1" r:id="rId1"/>
    <sheet name="Beaufort scale est belle" sheetId="2" state="hidden" r:id="rId2"/>
    <sheet name="Itinéraires" sheetId="3" r:id="rId3"/>
    <sheet name="Itinéraires2" sheetId="4" state="hidden" r:id="rId4"/>
    <sheet name="Angle de barre - pilote ST1000+" sheetId="5" state="hidden" r:id="rId5"/>
    <sheet name="Angle de barre - pilote SPXS" sheetId="6" r:id="rId6"/>
    <sheet name="Sheet1" sheetId="7" state="hidden" r:id="rId7"/>
  </sheets>
  <definedNames>
    <definedName name="_xlfn.AVERAGEIFS" hidden="1">#NAME?</definedName>
    <definedName name="_xlfn.COUNTIFS" hidden="1">#NAME?</definedName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<sst xmlns="http://schemas.openxmlformats.org/spreadsheetml/2006/main" count="372" uniqueCount="266">
  <si>
    <t>Total devis..................</t>
  </si>
  <si>
    <t>Tarif</t>
  </si>
  <si>
    <t>Devis</t>
  </si>
  <si>
    <t>Accessoires</t>
  </si>
  <si>
    <t>OK</t>
  </si>
  <si>
    <t>Pack armement de sécurité moins de 6 milles</t>
  </si>
  <si>
    <t>Miroir de signalisation</t>
  </si>
  <si>
    <t>Antifouling protection carène</t>
  </si>
  <si>
    <t>Remorque</t>
  </si>
  <si>
    <t>Remorque de route et mise à l’eau (freinée - PTC 1100 kg)</t>
  </si>
  <si>
    <t>Moteurs hors-bord</t>
  </si>
  <si>
    <t>Chargeur solaire 45W Torqeedo</t>
  </si>
  <si>
    <t>Extension 2m cable de puissance pour Cruise 2,0</t>
  </si>
  <si>
    <t>Journal de bord</t>
  </si>
  <si>
    <t>Chargeur Torqeedo 350W pour batterie  26-104 0-100% 11heures IP 65</t>
  </si>
  <si>
    <t>Récepteur AIS</t>
  </si>
  <si>
    <t>Prestations</t>
  </si>
  <si>
    <t>Couverture de survie</t>
  </si>
  <si>
    <t>Moteur Torqeedo Cruise 2.0 RL (17,2kg)</t>
  </si>
  <si>
    <t>Batteries Torqeedo 26-104_2685Wh 25,6V 104Ah 20kg IP 67 (577,5x218,5x253,5mm)</t>
  </si>
  <si>
    <t>Beaufort</t>
  </si>
  <si>
    <t>km/h</t>
  </si>
  <si>
    <t>Nm</t>
  </si>
  <si>
    <t>Mer</t>
  </si>
  <si>
    <t>Vagues (m)</t>
  </si>
  <si>
    <t>P(kg/m²)</t>
  </si>
  <si>
    <t>GV+FOC</t>
  </si>
  <si>
    <t>GV + Gennaker</t>
  </si>
  <si>
    <t>Spi 1</t>
  </si>
  <si>
    <t>a</t>
  </si>
  <si>
    <t>Calme</t>
  </si>
  <si>
    <t>RIDÉE</t>
  </si>
  <si>
    <t>BELLE</t>
  </si>
  <si>
    <t>PEU AGITÉE</t>
  </si>
  <si>
    <t>20kg</t>
  </si>
  <si>
    <t>6Nm</t>
  </si>
  <si>
    <t xml:space="preserve">57kg </t>
  </si>
  <si>
    <t>10Nm</t>
  </si>
  <si>
    <t>20Nm</t>
  </si>
  <si>
    <t>AGITÉE</t>
  </si>
  <si>
    <t>FORTE</t>
  </si>
  <si>
    <t>TRÈS FORTE</t>
  </si>
  <si>
    <t>GROSSE</t>
  </si>
  <si>
    <t>TRÈS GROSSE</t>
  </si>
  <si>
    <t>ENORME</t>
  </si>
  <si>
    <t>&gt;=14</t>
  </si>
  <si>
    <t>ÉNORME</t>
  </si>
  <si>
    <t>Concarneau - Audierne</t>
  </si>
  <si>
    <t>Audierne - Molènes</t>
  </si>
  <si>
    <t>Molènes - Roscoff</t>
  </si>
  <si>
    <t>Roscoff - Tréguier</t>
  </si>
  <si>
    <t>Départ de La Trinité, dodo à Belle Île</t>
  </si>
  <si>
    <t>Belle Île - Dodo à Concarneau</t>
  </si>
  <si>
    <t>MINIBEE</t>
  </si>
  <si>
    <t>ASTUS</t>
  </si>
  <si>
    <t>2 ris + FOC 33%</t>
  </si>
  <si>
    <t>3 ris + storm</t>
  </si>
  <si>
    <t>DESIGNATION</t>
  </si>
  <si>
    <t>"AD", harnais intégré + kit hydro 150N Hammar+lampe flash A_S28085+S28088+S28081+S26010</t>
  </si>
  <si>
    <t>FORWATER, harnais intégré + kit hydro 275N Hammar+ lampe flash AD_S28090+S28091+S28081+S26010</t>
  </si>
  <si>
    <t>SPINLOCK, harnais intégré + kit hydro 150N Hammar + couteau pour le saucisson :☺S28097+S28088</t>
  </si>
  <si>
    <t>CROZON FORWATER 150N + lampe flashAD_S26031+S26010</t>
  </si>
  <si>
    <t>"AD" enfant gonflable pastille de sel + lampe flash AD_S28070 + S26010</t>
  </si>
  <si>
    <t>x</t>
  </si>
  <si>
    <t>Echelle de secours, permettant la remontée d'un homme à la mer AD_S29018</t>
  </si>
  <si>
    <r>
      <t xml:space="preserve">Boule de mouillage </t>
    </r>
    <r>
      <rPr>
        <sz val="10"/>
        <color indexed="8"/>
        <rFont val="Arial"/>
        <family val="2"/>
      </rPr>
      <t>noire AD_S10002</t>
    </r>
  </si>
  <si>
    <t>Cône signalisation route au moteur AD_S10003</t>
  </si>
  <si>
    <t>Pavillons N &amp; C + national 30 x 40cm AD_N01150</t>
  </si>
  <si>
    <t>Sirène-signalisation sonore</t>
  </si>
  <si>
    <r>
      <t>Sticker prévention des abordages en mer_</t>
    </r>
    <r>
      <rPr>
        <sz val="10"/>
        <color indexed="8"/>
        <rFont val="Arial"/>
        <family val="2"/>
      </rPr>
      <t>ALMANACH DU MARIN BRETON</t>
    </r>
  </si>
  <si>
    <t>Trois feux rouges automatiques à main AD_S30205</t>
  </si>
  <si>
    <t>Carte du lieu de navigation</t>
  </si>
  <si>
    <t>Sticker balisage -signalisation maritime_ALMANACH DU MARIN BRETON</t>
  </si>
  <si>
    <t>Trousse premiers soins AD_S12194</t>
  </si>
  <si>
    <t>Récepteur marine SANGEAN ATS 909_Réglage au pas de 40kHz_FM 76/108MHz, AM 150/29999kHz AD_N51543</t>
  </si>
  <si>
    <t>Matériel pour faire le point, tracer-suivre une route</t>
  </si>
  <si>
    <t>Annuaire des marées ALMANACH DU MARIN BRETON</t>
  </si>
  <si>
    <t>Livre des feux ALMANACH DU MARIN BRETON</t>
  </si>
  <si>
    <t xml:space="preserve">Sacs - barils étanches </t>
  </si>
  <si>
    <t>Navtex</t>
  </si>
  <si>
    <t>Jumelles étanches BUSCHNELL 7x50-compas-télémètre-Champ 117m N03932+Courroie flottante N03971</t>
  </si>
  <si>
    <t>Lampes torches étanches</t>
  </si>
  <si>
    <t>Lampe flash pour équipier de quart</t>
  </si>
  <si>
    <t>Réflecteur radar MOBRI_ AD-S10005</t>
  </si>
  <si>
    <t>Pack sondeur MICRONET TACKTICK SUUNTO AD_N31481</t>
  </si>
  <si>
    <t>Sonde à main 30m AD_N31011</t>
  </si>
  <si>
    <t>Sangle de portage pour batterie AD_L48031</t>
  </si>
  <si>
    <t>Cosses de batterie à vis papillon AD_L48019</t>
  </si>
  <si>
    <t>Coupe batterie unipolaire 150A AD_L50001</t>
  </si>
  <si>
    <t>Tableau à disjoncteur NAVYLEC; 3 sorties: 2,5+5+10 A AD_L43357</t>
  </si>
  <si>
    <t>Câble 2x2,5mm² AD_L51161</t>
  </si>
  <si>
    <t>Prise étanche laiton 2 plots AD_L43002</t>
  </si>
  <si>
    <t>Compas route digital Tacktick avec support de mât_Autonomie 200h recharge solaire_Gîte &amp; tangage 30º AD_N23043 + N23042</t>
  </si>
  <si>
    <t>Pack armement de sécurité moins de 2 milles</t>
  </si>
  <si>
    <t>Pack armement de sécurité plus de 6 milles (4 personnes)</t>
  </si>
  <si>
    <t>Equipement recommandés</t>
  </si>
  <si>
    <t>GV+FOC travers</t>
  </si>
  <si>
    <t>2 ris + FOC 33% travers</t>
  </si>
  <si>
    <t>2 ris + Gennaker</t>
  </si>
  <si>
    <t>GV+FOC V 3/4 AR</t>
  </si>
  <si>
    <t>b</t>
  </si>
  <si>
    <t>Vent apparent avec corde de la voile</t>
  </si>
  <si>
    <t>Corde de la voile avec axe bateau</t>
  </si>
  <si>
    <t>Pression récupérée sur la voile</t>
  </si>
  <si>
    <t xml:space="preserve">ANGLE DE GITE MAX = 30º RAPPEL = </t>
  </si>
  <si>
    <t>m.kg</t>
  </si>
  <si>
    <t>B: large 8 beaufort compris, moyenne 1/3 des vagues jusqu'à 4m compris</t>
  </si>
  <si>
    <t>C: proximité des côtes, 6 Beaufort, moyenne 1/3 des vagues jusqu'à 2m compris</t>
  </si>
  <si>
    <t>D: eaux protégées, 4 Beaufort, moyenne 1/3 des vagues jusqu'à 0,3m compris</t>
  </si>
  <si>
    <t>Près</t>
  </si>
  <si>
    <t>Travers/Largue</t>
  </si>
  <si>
    <t>REMONTEE AU VENT</t>
  </si>
  <si>
    <t>VENT DE TRAVERS - LARGUE</t>
  </si>
  <si>
    <t>VENT AR</t>
  </si>
  <si>
    <t>690 kg sans barreur_800m.kg avec barreur 90 kg</t>
  </si>
  <si>
    <t>Moyen de repérage lumineux collectif ou individuel intégré dans les gilets FORWATER  AD_S26010 voir listes ci-dessus</t>
  </si>
  <si>
    <t>Coupe-circuit sur moteur &gt;4,5kW</t>
  </si>
  <si>
    <t>Ecope (OK) + seau souple AD_S15003 + S15015</t>
  </si>
  <si>
    <t>Pack Confort Raymarine</t>
  </si>
  <si>
    <t>- Afficheur ST40 Bidata</t>
  </si>
  <si>
    <t>- Afficheur ST40 Vent</t>
  </si>
  <si>
    <t>Traceur A57 RAYMARINE</t>
  </si>
  <si>
    <t>VHF portable RAY 101e</t>
  </si>
  <si>
    <t>- Afficheur ST60 Bidata</t>
  </si>
  <si>
    <t>- Afficheur ST60 Vent</t>
  </si>
  <si>
    <t>- Pilote SPXS Tiller</t>
  </si>
  <si>
    <t>Pack Sport Raymarine</t>
  </si>
  <si>
    <t>Pack ST 70 Raymarine</t>
  </si>
  <si>
    <t>1 ris+FOC 60%</t>
  </si>
  <si>
    <t>2 ris + FOC 50%</t>
  </si>
  <si>
    <t>Balise de détresse personnelle "MC MURDO FastFind 210 GPS"</t>
  </si>
  <si>
    <t>Ligne de vie WICHARD réglable Lyf' Safe longueur 8,50m x 2</t>
  </si>
  <si>
    <r>
      <t xml:space="preserve">Dispositif de remorquage 1 ligne 30m 3 torons polyamide 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10mm AD_C10108</t>
    </r>
  </si>
  <si>
    <t>Jeux de pinoches USHIP</t>
  </si>
  <si>
    <t>Kit HAMMAR de rechange</t>
  </si>
  <si>
    <t>Couverture anti feux standard fiberglass 120x120cm AD_S18180</t>
  </si>
  <si>
    <t>1 écran ST 70 couleur</t>
  </si>
  <si>
    <t>1 élément tête de mât</t>
  </si>
  <si>
    <t xml:space="preserve">Girouette-anémomètre + sondeur NASA Clipper </t>
  </si>
  <si>
    <t>Instructions nautiques ALMANACH du MARIN BRETON</t>
  </si>
  <si>
    <t>AdvanSea Indicateur + Sondeur 120m 57755 + Wind-a complet + anémo-girouette</t>
  </si>
  <si>
    <t>GPS lecteur de carte LOWRANCE HDS-5M</t>
  </si>
  <si>
    <t>1 sonde trifonctions traversante active</t>
  </si>
  <si>
    <t>Dispositif d'assèchement fixe ou mobile _ Pompe BILGE</t>
  </si>
  <si>
    <t>Coffret hauturier composé de 3 fusées parachute, 3 feux rouges à main et 2 fumigènes flottants AD_S30198 Annuler ligne 24 dans le cas de cette sélection + value / 2-6 milles</t>
  </si>
  <si>
    <t>Moyen mobile de lutte contre l'incendie AD_S18220_Inclus dans équipement de base MINIBEE</t>
  </si>
  <si>
    <t>Chargeur de batterie IVOSMART MASTERVOLT 15A 12V 206x121x50x1kg AD_L48082</t>
  </si>
  <si>
    <t>Panneau solaire INNOVTECH 120W 1235x670x35 AD_L54152</t>
  </si>
  <si>
    <t>Régulateur INNOVTECH 12V 12,5 A AD_54159</t>
  </si>
  <si>
    <t>Bouée fer à cheval PLASTIMO + phoscar (BIGSHIP) plus obligatoire si feux individuelles auto sur gilet</t>
  </si>
  <si>
    <t>Poids unit.</t>
  </si>
  <si>
    <t xml:space="preserve">Moya 1,5L </t>
  </si>
  <si>
    <t>Moya bonbonne 14L</t>
  </si>
  <si>
    <t>Alim lyophylisée</t>
  </si>
  <si>
    <t>Divers fruits &amp; légumes</t>
  </si>
  <si>
    <t>"Boujaron de grand Jaja"</t>
  </si>
  <si>
    <t>Bourbon</t>
  </si>
  <si>
    <t>Briques de soupe</t>
  </si>
  <si>
    <t>Rechange en sac étanche</t>
  </si>
  <si>
    <t>Outillage</t>
  </si>
  <si>
    <t xml:space="preserve">Moteur hors bord MERCURY F4 ML Sail_25kg_Alt. (12Vdc) 4A 50W - 2A 25W </t>
  </si>
  <si>
    <r>
      <t>Moteur hors bord SUZUKI DF5</t>
    </r>
    <r>
      <rPr>
        <sz val="10"/>
        <rFont val="Arial"/>
        <family val="2"/>
      </rPr>
      <t xml:space="preserve"> arbre long 5</t>
    </r>
    <r>
      <rPr>
        <sz val="10"/>
        <rFont val="Arial"/>
        <family val="2"/>
      </rPr>
      <t>CV réservoir incorporé_26kg</t>
    </r>
  </si>
  <si>
    <t>double boucle de harnais pour une meilleur répartition de la charge</t>
  </si>
  <si>
    <t>boucle d'ouverture et de fermeture rapide</t>
  </si>
  <si>
    <t>double sous-cutale intégrée</t>
  </si>
  <si>
    <t>capuche de protection et lampe flash intégrées</t>
  </si>
  <si>
    <t>dos intégral et col polaire amovible</t>
  </si>
  <si>
    <t>USHIP 169,00 €</t>
  </si>
  <si>
    <t>USHIP 89,90 €</t>
  </si>
  <si>
    <t>Gilet 180N MARINE POOL-Hammar-harnais-lampe flash_USHIP 12007+12543+kit Hamar de rechange</t>
  </si>
  <si>
    <t xml:space="preserve">Moteur hors bord YAMAHA F4,5 avec alternateur 6Amp. (option) </t>
  </si>
  <si>
    <r>
      <t xml:space="preserve">Pack électrique </t>
    </r>
    <r>
      <rPr>
        <sz val="10"/>
        <rFont val="Arial"/>
        <family val="2"/>
      </rPr>
      <t>"</t>
    </r>
    <r>
      <rPr>
        <sz val="10"/>
        <rFont val="Arial"/>
        <family val="2"/>
      </rPr>
      <t>M</t>
    </r>
    <r>
      <rPr>
        <sz val="10"/>
        <rFont val="Arial"/>
        <family val="2"/>
      </rPr>
      <t>aison"</t>
    </r>
  </si>
  <si>
    <t>Gaffe en bois vernis 1,8m AD_65280</t>
  </si>
  <si>
    <t>Idem ci-dessus MICRONET RACE MASTER mais 30mm au lieu de 20_Indicateur écart de vent AR, coté favorable chrono de départ USHIP_18049 + 41993</t>
  </si>
  <si>
    <t>Idem ci-dessus + Kit sonde (vitesse, profondeur, T°)_USHIP_41415 + étrier de mât USHIP</t>
  </si>
  <si>
    <t>Durée des étapes</t>
  </si>
  <si>
    <t>Moyenne en Nœuds</t>
  </si>
  <si>
    <t>Étapes</t>
  </si>
  <si>
    <t>Étapes en milles nautiques</t>
  </si>
  <si>
    <t>CUMULS &amp; MOYENNES</t>
  </si>
  <si>
    <t>Milles Nautiques</t>
  </si>
  <si>
    <t>Nœuds</t>
  </si>
  <si>
    <t>JOURS</t>
  </si>
  <si>
    <t>HEURES</t>
  </si>
  <si>
    <t>MINUTES</t>
  </si>
  <si>
    <t>SECONDES</t>
  </si>
  <si>
    <t>J : H : Min : Secondes</t>
  </si>
  <si>
    <t>PARIS - TOMBOUCTOU</t>
  </si>
  <si>
    <t>TOMBOUCTOU-ABIDJAN</t>
  </si>
  <si>
    <t>WINTEC Girouette 457mm USHIP 11037 + équerre USHIP 11515 ou WICHARD réf: 7201_ L = 380mm</t>
  </si>
  <si>
    <t>Batterie GEL VICTRON 12V 90/72 Ah (420A) L350xl167xH183xP26kg USHIP 16506</t>
  </si>
  <si>
    <r>
      <t>Feux de navigation à led, 2 miles nautiques Tricolore + mouillage USHIP_16359-</t>
    </r>
    <r>
      <rPr>
        <b/>
        <sz val="10"/>
        <color indexed="8"/>
        <rFont val="Arial"/>
        <family val="2"/>
      </rPr>
      <t xml:space="preserve">249 </t>
    </r>
    <r>
      <rPr>
        <b/>
        <sz val="10"/>
        <color indexed="8"/>
        <rFont val="Calibri"/>
        <family val="2"/>
      </rPr>
      <t>€</t>
    </r>
    <r>
      <rPr>
        <sz val="10"/>
        <color indexed="8"/>
        <rFont val="Arial"/>
        <family val="2"/>
      </rPr>
      <t xml:space="preserve"> _Tricolore USHIP 16358-</t>
    </r>
    <r>
      <rPr>
        <b/>
        <sz val="10"/>
        <color indexed="8"/>
        <rFont val="Arial"/>
        <family val="2"/>
      </rPr>
      <t>184€</t>
    </r>
  </si>
  <si>
    <t>Angle Plipa</t>
  </si>
  <si>
    <t>Angles 1 + 2 + 3 = 180º</t>
  </si>
  <si>
    <t xml:space="preserve">Vérification </t>
  </si>
  <si>
    <t>angle 3'</t>
  </si>
  <si>
    <t>Cos 3'</t>
  </si>
  <si>
    <t>c</t>
  </si>
  <si>
    <t>Angle cherché = (angle 1'-angle 2)/2</t>
  </si>
  <si>
    <t>(c²-b²-a²)/2*(a*b)=-cos 3</t>
  </si>
  <si>
    <t>angle 1</t>
  </si>
  <si>
    <t>angle 2'</t>
  </si>
  <si>
    <t>angle 1'</t>
  </si>
  <si>
    <t>angle 2</t>
  </si>
  <si>
    <t>Cos 2'</t>
  </si>
  <si>
    <t>Cos 1</t>
  </si>
  <si>
    <t>(b²-a²-c²)/2(a*c)=-cos 2'</t>
  </si>
  <si>
    <t>(a²-b²-c²)/2(b*c)=-cos 1'</t>
  </si>
  <si>
    <t>Flub</t>
  </si>
  <si>
    <t>Cos Flub</t>
  </si>
  <si>
    <t xml:space="preserve">b      </t>
  </si>
  <si>
    <t>Anglepouerks = (Flub-angle 2)/2</t>
  </si>
  <si>
    <t>(a²-b²-c²)/2(b*c)=-cos 1</t>
  </si>
  <si>
    <t>Angle cheché = 90-angle2-Plipa</t>
  </si>
  <si>
    <t>angle 3</t>
  </si>
  <si>
    <t>Tangente Plipa sin Plipa/cosPlipa</t>
  </si>
  <si>
    <t>Cos 3</t>
  </si>
  <si>
    <t>Cos 2</t>
  </si>
  <si>
    <t>(b²-a²-c²)/2(a*c)=-cos 2</t>
  </si>
  <si>
    <t xml:space="preserve">Angles 1 + 2 + 3 = </t>
  </si>
  <si>
    <t>Plikempoâ - Trendensbourg</t>
  </si>
  <si>
    <t>Trendensbourg-Flairzenburlb</t>
  </si>
  <si>
    <t>Moteur hors bord HONDA BF6 bicylindre A4LU_32kg</t>
  </si>
  <si>
    <r>
      <t>Moteur Torqeedo Travel 1003 L (14kg)</t>
    </r>
    <r>
      <rPr>
        <sz val="10"/>
        <rFont val="Arial"/>
        <family val="2"/>
      </rPr>
      <t xml:space="preserve"> avec batterie</t>
    </r>
  </si>
  <si>
    <t>DUREE</t>
  </si>
  <si>
    <t>Vitesse moyenne en milles nautiques</t>
  </si>
  <si>
    <t>La Trinité - Tréguier_Météo "permitting"</t>
  </si>
  <si>
    <t>Rapatriement du bateau depuis le chantier avec xxxxx capitaine au long cours-Nuits au port.</t>
  </si>
  <si>
    <t>Fournir le matériel Torqeedo chargé avant la navigation.</t>
  </si>
  <si>
    <t>Baromètre électronique VION A4000.2 + support 4 piles LR06 /12VDC  USHIP 41700</t>
  </si>
  <si>
    <r>
      <t xml:space="preserve">Storm Bag 4m² </t>
    </r>
    <r>
      <rPr>
        <b/>
        <sz val="10"/>
        <rFont val="Arial"/>
        <family val="2"/>
      </rPr>
      <t>(pas besoin de bas-étais)</t>
    </r>
    <r>
      <rPr>
        <sz val="10"/>
        <rFont val="Arial"/>
        <family val="2"/>
      </rPr>
      <t xml:space="preserve"> Plutôt 3,5 ou même 3m² sur mesure; consulter</t>
    </r>
    <r>
      <rPr>
        <b/>
        <sz val="10"/>
        <rFont val="Arial"/>
        <family val="2"/>
      </rPr>
      <t xml:space="preserve"> </t>
    </r>
  </si>
  <si>
    <t>Batterie de rechange Torqeedo 1003_520Wh 29,6V 18Ah pour moteur ci-dessus (4,5kg)</t>
  </si>
  <si>
    <t>Moteur hors bord HONDA BF5 A4LU_27,5kg</t>
  </si>
  <si>
    <r>
      <t>- Pilote ST1000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57kg 6,7"</t>
    </r>
  </si>
  <si>
    <t>Flairzenburlb - Geçaipluhou</t>
  </si>
  <si>
    <t>Geçaipluhou - Lasone</t>
  </si>
  <si>
    <t>Lasone - Letrou</t>
  </si>
  <si>
    <t>Letrou - Lalahitou</t>
  </si>
  <si>
    <t>Lalahitou - Shépahousset</t>
  </si>
  <si>
    <t>Shépahousset - Kelkepar</t>
  </si>
  <si>
    <t>Kelkepar - Ayeur</t>
  </si>
  <si>
    <t>Ayeur - Patroloin</t>
  </si>
  <si>
    <t>Patroloin - Sépala</t>
  </si>
  <si>
    <t>Sépala - Sétayeur</t>
  </si>
  <si>
    <t>Sétayeur - Parla</t>
  </si>
  <si>
    <t>Parla - Sétrouhé</t>
  </si>
  <si>
    <t>Sétroué - Mébouché</t>
  </si>
  <si>
    <r>
      <t>Plus value au pack ci-dessus pour ST 2000</t>
    </r>
    <r>
      <rPr>
        <vertAlign val="superscript"/>
        <sz val="10"/>
        <color indexed="63"/>
        <rFont val="Arial"/>
        <family val="2"/>
      </rPr>
      <t>+</t>
    </r>
    <r>
      <rPr>
        <sz val="10"/>
        <color indexed="63"/>
        <rFont val="Arial"/>
        <family val="2"/>
      </rPr>
      <t xml:space="preserve"> (77kg 3")</t>
    </r>
  </si>
  <si>
    <r>
      <t>- Pilote ST2000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kg seul 57kg 6,7" (couplé au A57 Raymarine) </t>
    </r>
  </si>
  <si>
    <t>Divers câbles (HO7RNF….Tête de mât en 3 x 1,5mm²)</t>
  </si>
  <si>
    <t>Support d'antenne pour FURUNO ci-dessus</t>
  </si>
  <si>
    <t>GPS FURUNO GP32-175x100x85 écran 11,4cm IPX5 10-30VDC_USHIP 10682</t>
  </si>
  <si>
    <t>GPS FURUNO GP33-145x120x70 écran 10,9cm IPX6 12-24VDC_USHIP 42350</t>
  </si>
  <si>
    <r>
      <t xml:space="preserve">Mouillage: </t>
    </r>
    <r>
      <rPr>
        <sz val="9"/>
        <color indexed="8"/>
        <rFont val="Arial"/>
        <family val="2"/>
      </rPr>
      <t>1 ancre KOBRA 8kg, 10m chaîne dia 8mm, 2 x Manilles HR WICHARD 10mm, Bout 3T 14mm 30m</t>
    </r>
  </si>
  <si>
    <r>
      <t xml:space="preserve">Mouillage: </t>
    </r>
    <r>
      <rPr>
        <sz val="9"/>
        <color indexed="8"/>
        <rFont val="Arial"/>
        <family val="2"/>
      </rPr>
      <t>1 ancre FORTRESS FX7, 8m chaîne dia 6mm, 2 x Manilles HR WICHARD 8mm, Bout plombé 10mm 30m</t>
    </r>
  </si>
  <si>
    <t>4 pare-battages 210x620mm, 1 orin flashline COUSIN 8mm 13m, 1 cosse cœur Inox 10mm, bout 3T 10mm 30m</t>
  </si>
  <si>
    <t>Sauvegarde WICHARD à 2 mousquetons pompier extensible 1-2m ref Wichard 7001 par personne_ADI13020</t>
  </si>
  <si>
    <t>Radeau hauturier 24H ISO 9650-1/24 h 4 pers container PLASTIMO USHIP 12231_Pas nécessaire en côtier parce que Minibee insubmersible</t>
  </si>
  <si>
    <r>
      <t>Compas de route/relèvement magnétique PLASTIMO Iris 100 (</t>
    </r>
    <r>
      <rPr>
        <b/>
        <sz val="10"/>
        <color indexed="8"/>
        <rFont val="Arial Narrow"/>
        <family val="2"/>
      </rPr>
      <t>socle support supplémentaire pour positionnement de part &amp; d'autre de la descente du 101 = 10,10 euros)</t>
    </r>
  </si>
  <si>
    <r>
      <t xml:space="preserve">Compas de route magnétique PLASTIMO CONTEST 130 (plus </t>
    </r>
    <r>
      <rPr>
        <b/>
        <sz val="10"/>
        <color indexed="8"/>
        <rFont val="Arial Narrow"/>
        <family val="2"/>
      </rPr>
      <t>socle support adaptateur sur mât)</t>
    </r>
  </si>
  <si>
    <t>Tarif ELAN 210 au XX/XX/2011 TTC modifiable sans préavis</t>
  </si>
  <si>
    <r>
      <t xml:space="preserve">Spi </t>
    </r>
    <r>
      <rPr>
        <sz val="10"/>
        <rFont val="Arial"/>
        <family val="2"/>
      </rPr>
      <t xml:space="preserve">Assymétrique A4 </t>
    </r>
    <r>
      <rPr>
        <sz val="10"/>
        <rFont val="Arial"/>
        <family val="2"/>
      </rPr>
      <t>North Sails 45m² + sac</t>
    </r>
  </si>
  <si>
    <t>Elan 210 départ slovénie</t>
  </si>
  <si>
    <t xml:space="preserve">GV &amp; Foc Elvstrom polyester finition MT271 C-breeze sans enrouleur </t>
  </si>
  <si>
    <t>Préparation bateau; antifouling, dégraissage, etc…</t>
  </si>
  <si>
    <t>Elan suivant devis sans (pack mouillage+enrouleur de génois+armement cotier -6M+S60 tridata)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</si>
</sst>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"/>
    <numFmt numFmtId="165" formatCode="#,##0.00\ [$€-40C]"/>
    <numFmt numFmtId="166" formatCode="#,##0.00\ &quot;€&quot;"/>
    <numFmt numFmtId="167" formatCode="#,##0\ &quot;€&quot;"/>
    <numFmt numFmtId="168" formatCode="0.0"/>
    <numFmt numFmtId="169" formatCode="h:mm;@"/>
    <numFmt numFmtId="170" formatCode="0.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00"/>
    <numFmt numFmtId="178" formatCode="0.0000000000"/>
    <numFmt numFmtId="179" formatCode="0.00000000000000000"/>
    <numFmt numFmtId="180" formatCode="0.00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trike/>
      <sz val="9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0"/>
      <color indexed="9"/>
      <name val="Verdana"/>
      <family val="2"/>
    </font>
    <font>
      <b/>
      <sz val="9"/>
      <name val="Verdana"/>
      <family val="2"/>
    </font>
    <font>
      <b/>
      <i/>
      <sz val="8"/>
      <color indexed="9"/>
      <name val="Verdana"/>
      <family val="2"/>
    </font>
    <font>
      <u val="single"/>
      <sz val="10"/>
      <color indexed="12"/>
      <name val="Arial"/>
      <family val="2"/>
    </font>
    <font>
      <sz val="24"/>
      <name val="Symbol"/>
      <family val="1"/>
    </font>
    <font>
      <b/>
      <sz val="26"/>
      <name val="Arial"/>
      <family val="2"/>
    </font>
    <font>
      <sz val="9"/>
      <color indexed="23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10"/>
      <color indexed="8"/>
      <name val="Symbol"/>
      <family val="1"/>
    </font>
    <font>
      <sz val="11"/>
      <name val="Arial Narrow"/>
      <family val="2"/>
    </font>
    <font>
      <b/>
      <sz val="10"/>
      <color indexed="8"/>
      <name val="Arial Narrow"/>
      <family val="2"/>
    </font>
    <font>
      <sz val="10"/>
      <name val="Lucida Calligraphy"/>
      <family val="0"/>
    </font>
    <font>
      <sz val="10"/>
      <name val="Lucida Handwriting"/>
      <family val="0"/>
    </font>
    <font>
      <b/>
      <sz val="14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sz val="8"/>
      <name val="Lucida Calligraphy"/>
      <family val="4"/>
    </font>
    <font>
      <sz val="8"/>
      <name val="Lucida Handwriting"/>
      <family val="4"/>
    </font>
    <font>
      <i/>
      <sz val="10"/>
      <name val="Lucida Calligraphy"/>
      <family val="4"/>
    </font>
    <font>
      <i/>
      <sz val="10"/>
      <name val="Lucida Handwriting"/>
      <family val="4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sz val="9"/>
      <color indexed="57"/>
      <name val="Verdana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63"/>
      <name val="Verdana"/>
      <family val="2"/>
    </font>
    <font>
      <sz val="10"/>
      <color indexed="5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Arial Narrow"/>
      <family val="2"/>
    </font>
    <font>
      <sz val="10"/>
      <color indexed="8"/>
      <name val="Calibri"/>
      <family val="2"/>
    </font>
    <font>
      <sz val="11"/>
      <color indexed="49"/>
      <name val="Calibri"/>
      <family val="2"/>
    </font>
    <font>
      <sz val="12"/>
      <color indexed="8"/>
      <name val="Calibri"/>
      <family val="2"/>
    </font>
    <font>
      <sz val="12"/>
      <color indexed="49"/>
      <name val="Calibri"/>
      <family val="0"/>
    </font>
    <font>
      <sz val="10"/>
      <color indexed="49"/>
      <name val="Arial"/>
      <family val="2"/>
    </font>
    <font>
      <b/>
      <sz val="12"/>
      <color indexed="10"/>
      <name val="Calibri"/>
      <family val="0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Arial Narrow"/>
      <family val="2"/>
    </font>
    <font>
      <b/>
      <sz val="10"/>
      <color indexed="2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i/>
      <sz val="8"/>
      <color rgb="FFFF0000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8" tint="-0.4999699890613556"/>
      <name val="Verdana"/>
      <family val="2"/>
    </font>
    <font>
      <sz val="10"/>
      <color theme="1"/>
      <name val="Arial Narrow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24998000264167786"/>
      <name val="Verdana"/>
      <family val="2"/>
    </font>
    <font>
      <sz val="10"/>
      <color theme="8" tint="-0.4999699890613556"/>
      <name val="Arial"/>
      <family val="2"/>
    </font>
    <font>
      <sz val="10"/>
      <color theme="3"/>
      <name val="Arial"/>
      <family val="2"/>
    </font>
    <font>
      <sz val="10"/>
      <color theme="1" tint="0.49998000264167786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 Narrow"/>
      <family val="2"/>
    </font>
    <font>
      <sz val="8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Arial Narrow"/>
      <family val="2"/>
    </font>
    <font>
      <sz val="10"/>
      <color theme="1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Calibri"/>
      <family val="2"/>
    </font>
    <font>
      <sz val="12"/>
      <color theme="0" tint="-0.24997000396251678"/>
      <name val="Calibri"/>
      <family val="0"/>
    </font>
    <font>
      <sz val="10"/>
      <color theme="0" tint="-0.24997000396251678"/>
      <name val="Arial"/>
      <family val="2"/>
    </font>
    <font>
      <b/>
      <sz val="12"/>
      <color rgb="FFFF0000"/>
      <name val="Calibri"/>
      <family val="0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 tint="0.24998000264167786"/>
      <name val="Arial"/>
      <family val="2"/>
    </font>
    <font>
      <b/>
      <sz val="10"/>
      <color theme="1" tint="0.34999001026153564"/>
      <name val="Arial"/>
      <family val="0"/>
    </font>
    <font>
      <sz val="9"/>
      <color theme="1" tint="0.34999001026153564"/>
      <name val="Arial"/>
      <family val="0"/>
    </font>
    <font>
      <sz val="10"/>
      <color theme="1" tint="0.34999001026153564"/>
      <name val="Arial"/>
      <family val="0"/>
    </font>
    <font>
      <sz val="11"/>
      <color rgb="FFFFFFFF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theme="2" tint="-0.09994000196456909"/>
      </top>
      <bottom style="hair">
        <color theme="2" tint="-0.09994000196456909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4000196456909"/>
      </top>
      <bottom style="hair">
        <color theme="2" tint="-0.09994000196456909"/>
      </bottom>
    </border>
    <border>
      <left style="hair">
        <color theme="2" tint="-0.09994000196456909"/>
      </left>
      <right style="hair">
        <color theme="2" tint="-0.09994000196456909"/>
      </right>
      <top>
        <color indexed="63"/>
      </top>
      <bottom style="hair">
        <color theme="2" tint="-0.09994000196456909"/>
      </bottom>
    </border>
    <border>
      <left style="hair">
        <color theme="2" tint="-0.09994000196456909"/>
      </left>
      <right>
        <color indexed="63"/>
      </right>
      <top style="hair">
        <color theme="2" tint="-0.09994000196456909"/>
      </top>
      <bottom style="hair">
        <color theme="2" tint="-0.09994000196456909"/>
      </bottom>
    </border>
    <border>
      <left style="hair">
        <color theme="7" tint="-0.24993999302387238"/>
      </left>
      <right>
        <color indexed="63"/>
      </right>
      <top style="hair">
        <color theme="7" tint="-0.24993999302387238"/>
      </top>
      <bottom style="hair">
        <color theme="7" tint="-0.24993999302387238"/>
      </bottom>
    </border>
    <border>
      <left>
        <color indexed="63"/>
      </left>
      <right style="hair">
        <color theme="2" tint="-0.09990999847650528"/>
      </right>
      <top>
        <color indexed="63"/>
      </top>
      <bottom style="hair">
        <color theme="2" tint="-0.09990999847650528"/>
      </bottom>
    </border>
    <border>
      <left style="hair">
        <color theme="2" tint="-0.09990999847650528"/>
      </left>
      <right style="hair">
        <color theme="2" tint="-0.09990999847650528"/>
      </right>
      <top>
        <color indexed="63"/>
      </top>
      <bottom style="hair">
        <color theme="2" tint="-0.09990999847650528"/>
      </bottom>
    </border>
    <border>
      <left style="hair">
        <color theme="2" tint="-0.09990999847650528"/>
      </left>
      <right style="hair">
        <color theme="2" tint="-0.09990999847650528"/>
      </right>
      <top style="hair">
        <color theme="2" tint="-0.09990999847650528"/>
      </top>
      <bottom style="hair">
        <color theme="2" tint="-0.09990999847650528"/>
      </bottom>
    </border>
    <border>
      <left>
        <color indexed="63"/>
      </left>
      <right style="hair">
        <color theme="2" tint="-0.09990999847650528"/>
      </right>
      <top style="hair">
        <color theme="2" tint="-0.09990999847650528"/>
      </top>
      <bottom style="hair">
        <color theme="2" tint="-0.09990999847650528"/>
      </bottom>
    </border>
    <border>
      <left>
        <color indexed="63"/>
      </left>
      <right style="hair">
        <color theme="7" tint="-0.24993999302387238"/>
      </right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theme="2" tint="-0.09990999847650528"/>
      </top>
      <bottom style="hair">
        <color theme="2" tint="-0.09990999847650528"/>
      </bottom>
    </border>
    <border>
      <left style="hair">
        <color theme="2" tint="-0.09990999847650528"/>
      </left>
      <right style="hair">
        <color theme="2" tint="-0.09990999847650528"/>
      </right>
      <top style="hair">
        <color theme="2" tint="-0.09990999847650528"/>
      </top>
      <bottom style="hair">
        <color theme="2" tint="-0.09994000196456909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4000196456909"/>
      </top>
      <bottom>
        <color indexed="63"/>
      </bottom>
    </border>
    <border>
      <left>
        <color indexed="63"/>
      </left>
      <right>
        <color indexed="63"/>
      </right>
      <top style="hair">
        <color theme="2" tint="-0.0999400019645690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2" tint="-0.0999400019645690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theme="7" tint="-0.24993999302387238"/>
      </right>
      <top>
        <color indexed="63"/>
      </top>
      <bottom style="hair">
        <color theme="7" tint="-0.24993999302387238"/>
      </bottom>
    </border>
    <border>
      <left style="hair">
        <color theme="7" tint="-0.24993999302387238"/>
      </left>
      <right>
        <color indexed="63"/>
      </right>
      <top>
        <color indexed="63"/>
      </top>
      <bottom style="hair">
        <color theme="7" tint="-0.2499399930238723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theme="2" tint="-0.09994000196456909"/>
      </left>
      <right>
        <color indexed="63"/>
      </right>
      <top style="hair">
        <color theme="2" tint="-0.09994000196456909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2" tint="-0.09990999847650528"/>
      </right>
      <top style="hair">
        <color theme="2" tint="-0.09990999847650528"/>
      </top>
      <bottom style="hair">
        <color theme="2" tint="-0.09994000196456909"/>
      </bottom>
    </border>
    <border>
      <left style="hair">
        <color theme="2" tint="-0.09990999847650528"/>
      </left>
      <right>
        <color indexed="63"/>
      </right>
      <top style="hair">
        <color theme="2" tint="-0.09990999847650528"/>
      </top>
      <bottom style="hair">
        <color theme="2" tint="-0.0999400019645690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2" fillId="0" borderId="0" xfId="56" applyProtection="1">
      <alignment/>
      <protection hidden="1"/>
    </xf>
    <xf numFmtId="0" fontId="100" fillId="0" borderId="0" xfId="56" applyFont="1" applyAlignment="1" applyProtection="1">
      <alignment horizontal="right"/>
      <protection hidden="1"/>
    </xf>
    <xf numFmtId="164" fontId="8" fillId="0" borderId="0" xfId="56" applyNumberFormat="1" applyFont="1" applyProtection="1">
      <alignment/>
      <protection hidden="1"/>
    </xf>
    <xf numFmtId="0" fontId="2" fillId="0" borderId="0" xfId="56" applyFill="1" applyProtection="1">
      <alignment/>
      <protection hidden="1"/>
    </xf>
    <xf numFmtId="0" fontId="101" fillId="0" borderId="0" xfId="0" applyFont="1" applyBorder="1" applyAlignment="1" applyProtection="1">
      <alignment horizontal="center" vertical="center" textRotation="90"/>
      <protection hidden="1"/>
    </xf>
    <xf numFmtId="0" fontId="102" fillId="0" borderId="10" xfId="0" applyFont="1" applyBorder="1" applyAlignment="1" applyProtection="1">
      <alignment horizontal="center" vertical="center"/>
      <protection hidden="1"/>
    </xf>
    <xf numFmtId="0" fontId="103" fillId="0" borderId="11" xfId="0" applyFont="1" applyBorder="1" applyAlignment="1" applyProtection="1">
      <alignment horizontal="center" vertical="center"/>
      <protection hidden="1"/>
    </xf>
    <xf numFmtId="166" fontId="103" fillId="0" borderId="11" xfId="0" applyNumberFormat="1" applyFont="1" applyBorder="1" applyAlignment="1" applyProtection="1">
      <alignment horizontal="right" vertical="center" wrapText="1"/>
      <protection hidden="1"/>
    </xf>
    <xf numFmtId="0" fontId="103" fillId="0" borderId="0" xfId="0" applyFont="1" applyAlignment="1" applyProtection="1">
      <alignment horizontal="center" vertical="center" wrapText="1"/>
      <protection hidden="1"/>
    </xf>
    <xf numFmtId="166" fontId="103" fillId="0" borderId="0" xfId="0" applyNumberFormat="1" applyFont="1" applyAlignment="1" applyProtection="1">
      <alignment horizontal="right" vertical="center" wrapText="1"/>
      <protection hidden="1"/>
    </xf>
    <xf numFmtId="171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70" fontId="2" fillId="0" borderId="12" xfId="56" applyNumberFormat="1" applyFont="1" applyBorder="1" applyProtection="1">
      <alignment/>
      <protection hidden="1"/>
    </xf>
    <xf numFmtId="0" fontId="5" fillId="0" borderId="0" xfId="56" applyFont="1" applyProtection="1">
      <alignment/>
      <protection hidden="1"/>
    </xf>
    <xf numFmtId="164" fontId="6" fillId="0" borderId="0" xfId="56" applyNumberFormat="1" applyFont="1" applyProtection="1">
      <alignment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164" fontId="18" fillId="0" borderId="0" xfId="56" applyNumberFormat="1" applyFont="1" applyProtection="1">
      <alignment/>
      <protection hidden="1"/>
    </xf>
    <xf numFmtId="0" fontId="5" fillId="0" borderId="0" xfId="56" applyFont="1" applyFill="1" applyProtection="1">
      <alignment/>
      <protection hidden="1"/>
    </xf>
    <xf numFmtId="0" fontId="102" fillId="7" borderId="13" xfId="0" applyFont="1" applyFill="1" applyBorder="1" applyAlignment="1" applyProtection="1">
      <alignment horizontal="center" vertical="center"/>
      <protection hidden="1"/>
    </xf>
    <xf numFmtId="0" fontId="2" fillId="7" borderId="10" xfId="56" applyFont="1" applyFill="1" applyBorder="1" applyAlignment="1" applyProtection="1">
      <alignment vertical="center" wrapText="1"/>
      <protection hidden="1"/>
    </xf>
    <xf numFmtId="166" fontId="2" fillId="7" borderId="12" xfId="56" applyNumberFormat="1" applyFont="1" applyFill="1" applyBorder="1" applyAlignment="1" applyProtection="1">
      <alignment horizontal="right" vertical="center"/>
      <protection hidden="1"/>
    </xf>
    <xf numFmtId="0" fontId="103" fillId="7" borderId="11" xfId="0" applyFont="1" applyFill="1" applyBorder="1" applyAlignment="1" applyProtection="1">
      <alignment horizontal="center" vertical="center" wrapText="1"/>
      <protection hidden="1"/>
    </xf>
    <xf numFmtId="166" fontId="103" fillId="7" borderId="12" xfId="0" applyNumberFormat="1" applyFont="1" applyFill="1" applyBorder="1" applyAlignment="1" applyProtection="1">
      <alignment horizontal="right" vertical="center" wrapText="1"/>
      <protection hidden="1"/>
    </xf>
    <xf numFmtId="171" fontId="2" fillId="0" borderId="13" xfId="0" applyNumberFormat="1" applyFont="1" applyFill="1" applyBorder="1" applyAlignment="1" applyProtection="1">
      <alignment horizontal="right" vertical="center" wrapText="1"/>
      <protection hidden="1"/>
    </xf>
    <xf numFmtId="170" fontId="2" fillId="0" borderId="14" xfId="56" applyNumberFormat="1" applyFont="1" applyBorder="1" applyProtection="1">
      <alignment/>
      <protection hidden="1"/>
    </xf>
    <xf numFmtId="166" fontId="2" fillId="7" borderId="14" xfId="56" applyNumberFormat="1" applyFont="1" applyFill="1" applyBorder="1" applyAlignment="1" applyProtection="1">
      <alignment horizontal="right" vertical="center"/>
      <protection hidden="1"/>
    </xf>
    <xf numFmtId="0" fontId="103" fillId="7" borderId="15" xfId="0" applyFont="1" applyFill="1" applyBorder="1" applyAlignment="1" applyProtection="1">
      <alignment horizontal="center" vertical="center" wrapText="1"/>
      <protection hidden="1"/>
    </xf>
    <xf numFmtId="166" fontId="103" fillId="7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56" applyFont="1" applyBorder="1" applyAlignment="1" applyProtection="1">
      <alignment/>
      <protection hidden="1"/>
    </xf>
    <xf numFmtId="166" fontId="4" fillId="0" borderId="0" xfId="56" applyNumberFormat="1" applyFont="1" applyFill="1" applyProtection="1">
      <alignment/>
      <protection hidden="1"/>
    </xf>
    <xf numFmtId="0" fontId="2" fillId="7" borderId="10" xfId="56" applyFont="1" applyFill="1" applyBorder="1" applyAlignment="1" applyProtection="1">
      <alignment vertical="center"/>
      <protection hidden="1"/>
    </xf>
    <xf numFmtId="0" fontId="2" fillId="0" borderId="0" xfId="56" applyBorder="1" applyProtection="1">
      <alignment/>
      <protection hidden="1"/>
    </xf>
    <xf numFmtId="164" fontId="7" fillId="0" borderId="0" xfId="56" applyNumberFormat="1" applyFont="1" applyBorder="1" applyProtection="1">
      <alignment/>
      <protection hidden="1"/>
    </xf>
    <xf numFmtId="0" fontId="7" fillId="0" borderId="0" xfId="56" applyFont="1" applyBorder="1" applyAlignment="1" applyProtection="1">
      <alignment horizontal="center" vertical="center"/>
      <protection hidden="1"/>
    </xf>
    <xf numFmtId="0" fontId="9" fillId="33" borderId="0" xfId="56" applyFont="1" applyFill="1" applyBorder="1" applyAlignment="1" applyProtection="1">
      <alignment horizontal="left" vertical="top" wrapText="1"/>
      <protection hidden="1"/>
    </xf>
    <xf numFmtId="0" fontId="10" fillId="33" borderId="0" xfId="56" applyFont="1" applyFill="1" applyBorder="1" applyAlignment="1" applyProtection="1">
      <alignment horizontal="left" vertical="top" wrapText="1"/>
      <protection hidden="1"/>
    </xf>
    <xf numFmtId="164" fontId="10" fillId="33" borderId="0" xfId="56" applyNumberFormat="1" applyFont="1" applyFill="1" applyBorder="1" applyAlignment="1" applyProtection="1">
      <alignment horizontal="left" vertical="top" wrapText="1"/>
      <protection hidden="1"/>
    </xf>
    <xf numFmtId="0" fontId="10" fillId="33" borderId="0" xfId="56" applyFont="1" applyFill="1" applyBorder="1" applyAlignment="1" applyProtection="1">
      <alignment horizontal="center" vertical="center" wrapText="1"/>
      <protection hidden="1"/>
    </xf>
    <xf numFmtId="164" fontId="10" fillId="33" borderId="0" xfId="56" applyNumberFormat="1" applyFont="1" applyFill="1" applyBorder="1" applyAlignment="1" applyProtection="1">
      <alignment horizontal="center" vertical="top" wrapText="1"/>
      <protection hidden="1"/>
    </xf>
    <xf numFmtId="164" fontId="11" fillId="33" borderId="0" xfId="56" applyNumberFormat="1" applyFont="1" applyFill="1" applyBorder="1" applyAlignment="1" applyProtection="1">
      <alignment horizontal="right" vertical="top"/>
      <protection hidden="1"/>
    </xf>
    <xf numFmtId="1" fontId="11" fillId="33" borderId="0" xfId="56" applyNumberFormat="1" applyFont="1" applyFill="1" applyBorder="1" applyAlignment="1" applyProtection="1">
      <alignment horizontal="center" vertical="center"/>
      <protection hidden="1"/>
    </xf>
    <xf numFmtId="0" fontId="103" fillId="7" borderId="15" xfId="0" applyFont="1" applyFill="1" applyBorder="1" applyAlignment="1" applyProtection="1">
      <alignment vertical="center"/>
      <protection hidden="1"/>
    </xf>
    <xf numFmtId="0" fontId="12" fillId="34" borderId="0" xfId="56" applyFont="1" applyFill="1" applyBorder="1" applyAlignment="1" applyProtection="1">
      <alignment horizontal="left"/>
      <protection hidden="1"/>
    </xf>
    <xf numFmtId="1" fontId="12" fillId="34" borderId="0" xfId="56" applyNumberFormat="1" applyFont="1" applyFill="1" applyBorder="1" applyAlignment="1" applyProtection="1">
      <alignment horizontal="center" vertical="center"/>
      <protection hidden="1"/>
    </xf>
    <xf numFmtId="164" fontId="12" fillId="34" borderId="0" xfId="56" applyNumberFormat="1" applyFont="1" applyFill="1" applyBorder="1" applyAlignment="1" applyProtection="1">
      <alignment horizontal="left"/>
      <protection hidden="1"/>
    </xf>
    <xf numFmtId="166" fontId="2" fillId="7" borderId="16" xfId="56" applyNumberFormat="1" applyFont="1" applyFill="1" applyBorder="1" applyAlignment="1" applyProtection="1">
      <alignment horizontal="right" vertical="center"/>
      <protection hidden="1"/>
    </xf>
    <xf numFmtId="0" fontId="9" fillId="33" borderId="0" xfId="56" applyFont="1" applyFill="1" applyBorder="1" applyAlignment="1" applyProtection="1">
      <alignment horizontal="left"/>
      <protection hidden="1"/>
    </xf>
    <xf numFmtId="0" fontId="2" fillId="33" borderId="17" xfId="56" applyFont="1" applyFill="1" applyBorder="1" applyAlignment="1" applyProtection="1">
      <alignment horizontal="left"/>
      <protection hidden="1"/>
    </xf>
    <xf numFmtId="164" fontId="11" fillId="33" borderId="18" xfId="56" applyNumberFormat="1" applyFont="1" applyFill="1" applyBorder="1" applyAlignment="1" applyProtection="1">
      <alignment horizontal="right" vertical="center"/>
      <protection hidden="1"/>
    </xf>
    <xf numFmtId="1" fontId="11" fillId="33" borderId="19" xfId="56" applyNumberFormat="1" applyFont="1" applyFill="1" applyBorder="1" applyAlignment="1" applyProtection="1">
      <alignment horizontal="center" vertical="center"/>
      <protection hidden="1"/>
    </xf>
    <xf numFmtId="164" fontId="11" fillId="33" borderId="20" xfId="56" applyNumberFormat="1" applyFont="1" applyFill="1" applyBorder="1" applyAlignment="1" applyProtection="1">
      <alignment horizontal="right" vertical="top"/>
      <protection hidden="1"/>
    </xf>
    <xf numFmtId="0" fontId="2" fillId="33" borderId="17" xfId="56" applyFont="1" applyFill="1" applyBorder="1" applyAlignment="1" applyProtection="1">
      <alignment horizontal="left"/>
      <protection hidden="1"/>
    </xf>
    <xf numFmtId="1" fontId="11" fillId="33" borderId="18" xfId="56" applyNumberFormat="1" applyFont="1" applyFill="1" applyBorder="1" applyAlignment="1" applyProtection="1">
      <alignment horizontal="center" vertical="center"/>
      <protection hidden="1"/>
    </xf>
    <xf numFmtId="166" fontId="2" fillId="7" borderId="21" xfId="56" applyNumberFormat="1" applyFont="1" applyFill="1" applyBorder="1" applyAlignment="1" applyProtection="1">
      <alignment horizontal="right" vertical="center"/>
      <protection hidden="1"/>
    </xf>
    <xf numFmtId="166" fontId="21" fillId="7" borderId="16" xfId="56" applyNumberFormat="1" applyFont="1" applyFill="1" applyBorder="1" applyAlignment="1" applyProtection="1">
      <alignment horizontal="right" vertical="center"/>
      <protection hidden="1"/>
    </xf>
    <xf numFmtId="4" fontId="2" fillId="0" borderId="0" xfId="56" applyNumberFormat="1" applyProtection="1">
      <alignment/>
      <protection hidden="1"/>
    </xf>
    <xf numFmtId="0" fontId="2" fillId="33" borderId="17" xfId="56" applyFont="1" applyFill="1" applyBorder="1" applyAlignment="1" applyProtection="1">
      <alignment horizontal="left" vertical="center"/>
      <protection hidden="1"/>
    </xf>
    <xf numFmtId="0" fontId="104" fillId="7" borderId="15" xfId="0" applyFont="1" applyFill="1" applyBorder="1" applyAlignment="1" applyProtection="1">
      <alignment vertical="center"/>
      <protection hidden="1"/>
    </xf>
    <xf numFmtId="166" fontId="2" fillId="7" borderId="14" xfId="56" applyNumberFormat="1" applyFont="1" applyFill="1" applyBorder="1" applyAlignment="1" applyProtection="1">
      <alignment horizontal="right" vertical="center" wrapText="1"/>
      <protection hidden="1"/>
    </xf>
    <xf numFmtId="166" fontId="2" fillId="7" borderId="16" xfId="56" applyNumberFormat="1" applyFont="1" applyFill="1" applyBorder="1" applyAlignment="1" applyProtection="1" quotePrefix="1">
      <alignment horizontal="right" vertical="center"/>
      <protection hidden="1"/>
    </xf>
    <xf numFmtId="1" fontId="105" fillId="33" borderId="18" xfId="56" applyNumberFormat="1" applyFont="1" applyFill="1" applyBorder="1" applyAlignment="1" applyProtection="1">
      <alignment horizontal="center" vertical="center"/>
      <protection hidden="1"/>
    </xf>
    <xf numFmtId="0" fontId="102" fillId="35" borderId="13" xfId="0" applyFont="1" applyFill="1" applyBorder="1" applyAlignment="1" applyProtection="1">
      <alignment horizontal="center" vertical="center"/>
      <protection hidden="1"/>
    </xf>
    <xf numFmtId="0" fontId="103" fillId="35" borderId="15" xfId="0" applyFont="1" applyFill="1" applyBorder="1" applyAlignment="1" applyProtection="1">
      <alignment vertical="center"/>
      <protection hidden="1"/>
    </xf>
    <xf numFmtId="166" fontId="103" fillId="35" borderId="14" xfId="0" applyNumberFormat="1" applyFont="1" applyFill="1" applyBorder="1" applyAlignment="1" applyProtection="1">
      <alignment horizontal="right" vertical="center" wrapText="1"/>
      <protection hidden="1"/>
    </xf>
    <xf numFmtId="0" fontId="103" fillId="35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Protection="1">
      <alignment/>
      <protection hidden="1"/>
    </xf>
    <xf numFmtId="164" fontId="11" fillId="33" borderId="19" xfId="56" applyNumberFormat="1" applyFont="1" applyFill="1" applyBorder="1" applyAlignment="1" applyProtection="1">
      <alignment horizontal="right" vertical="center"/>
      <protection hidden="1"/>
    </xf>
    <xf numFmtId="166" fontId="2" fillId="35" borderId="16" xfId="56" applyNumberFormat="1" applyFont="1" applyFill="1" applyBorder="1" applyAlignment="1" applyProtection="1">
      <alignment horizontal="right" vertical="center"/>
      <protection hidden="1"/>
    </xf>
    <xf numFmtId="0" fontId="106" fillId="35" borderId="15" xfId="0" applyFont="1" applyFill="1" applyBorder="1" applyAlignment="1" applyProtection="1">
      <alignment vertical="center"/>
      <protection hidden="1"/>
    </xf>
    <xf numFmtId="164" fontId="11" fillId="33" borderId="18" xfId="56" applyNumberFormat="1" applyFont="1" applyFill="1" applyBorder="1" applyAlignment="1" applyProtection="1">
      <alignment horizontal="right" vertical="top"/>
      <protection hidden="1"/>
    </xf>
    <xf numFmtId="166" fontId="107" fillId="35" borderId="14" xfId="0" applyNumberFormat="1" applyFont="1" applyFill="1" applyBorder="1" applyAlignment="1" applyProtection="1">
      <alignment horizontal="right" vertical="center" wrapText="1"/>
      <protection hidden="1"/>
    </xf>
    <xf numFmtId="0" fontId="2" fillId="33" borderId="22" xfId="56" applyFont="1" applyFill="1" applyBorder="1" applyAlignment="1" applyProtection="1">
      <alignment horizontal="left"/>
      <protection hidden="1"/>
    </xf>
    <xf numFmtId="164" fontId="11" fillId="33" borderId="23" xfId="56" applyNumberFormat="1" applyFont="1" applyFill="1" applyBorder="1" applyAlignment="1" applyProtection="1">
      <alignment horizontal="right" vertical="center"/>
      <protection hidden="1"/>
    </xf>
    <xf numFmtId="1" fontId="11" fillId="33" borderId="23" xfId="56" applyNumberFormat="1" applyFont="1" applyFill="1" applyBorder="1" applyAlignment="1" applyProtection="1">
      <alignment horizontal="center" vertical="center"/>
      <protection hidden="1"/>
    </xf>
    <xf numFmtId="0" fontId="108" fillId="36" borderId="13" xfId="0" applyFont="1" applyFill="1" applyBorder="1" applyAlignment="1" applyProtection="1">
      <alignment horizontal="center" vertical="center"/>
      <protection hidden="1"/>
    </xf>
    <xf numFmtId="0" fontId="107" fillId="36" borderId="15" xfId="0" applyFont="1" applyFill="1" applyBorder="1" applyAlignment="1" applyProtection="1">
      <alignment vertical="center"/>
      <protection hidden="1"/>
    </xf>
    <xf numFmtId="166" fontId="107" fillId="36" borderId="14" xfId="0" applyNumberFormat="1" applyFont="1" applyFill="1" applyBorder="1" applyAlignment="1" applyProtection="1">
      <alignment horizontal="right" vertical="center" wrapText="1"/>
      <protection hidden="1"/>
    </xf>
    <xf numFmtId="0" fontId="107" fillId="36" borderId="15" xfId="0" applyFont="1" applyFill="1" applyBorder="1" applyAlignment="1" applyProtection="1">
      <alignment horizontal="center" vertical="center" wrapText="1"/>
      <protection hidden="1"/>
    </xf>
    <xf numFmtId="167" fontId="11" fillId="37" borderId="24" xfId="56" applyNumberFormat="1" applyFont="1" applyFill="1" applyBorder="1" applyAlignment="1" applyProtection="1">
      <alignment horizontal="right" vertical="center" wrapText="1"/>
      <protection hidden="1"/>
    </xf>
    <xf numFmtId="3" fontId="9" fillId="37" borderId="24" xfId="56" applyNumberFormat="1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vertical="center" wrapText="1"/>
      <protection hidden="1"/>
    </xf>
    <xf numFmtId="166" fontId="107" fillId="36" borderId="16" xfId="56" applyNumberFormat="1" applyFont="1" applyFill="1" applyBorder="1" applyAlignment="1" applyProtection="1">
      <alignment horizontal="right" vertical="center"/>
      <protection hidden="1"/>
    </xf>
    <xf numFmtId="0" fontId="107" fillId="36" borderId="26" xfId="56" applyFont="1" applyFill="1" applyBorder="1" applyAlignment="1" applyProtection="1">
      <alignment vertical="center"/>
      <protection hidden="1"/>
    </xf>
    <xf numFmtId="166" fontId="103" fillId="36" borderId="0" xfId="0" applyNumberFormat="1" applyFont="1" applyFill="1" applyBorder="1" applyAlignment="1" applyProtection="1">
      <alignment horizontal="right" vertical="center" wrapText="1"/>
      <protection hidden="1"/>
    </xf>
    <xf numFmtId="166" fontId="107" fillId="36" borderId="21" xfId="56" applyNumberFormat="1" applyFont="1" applyFill="1" applyBorder="1" applyAlignment="1" applyProtection="1">
      <alignment horizontal="right" vertical="center"/>
      <protection hidden="1"/>
    </xf>
    <xf numFmtId="166" fontId="103" fillId="36" borderId="12" xfId="0" applyNumberFormat="1" applyFont="1" applyFill="1" applyBorder="1" applyAlignment="1" applyProtection="1">
      <alignment horizontal="right" vertical="center" wrapText="1"/>
      <protection hidden="1"/>
    </xf>
    <xf numFmtId="166" fontId="103" fillId="36" borderId="14" xfId="0" applyNumberFormat="1" applyFont="1" applyFill="1" applyBorder="1" applyAlignment="1" applyProtection="1">
      <alignment horizontal="right" vertical="center" wrapText="1"/>
      <protection hidden="1"/>
    </xf>
    <xf numFmtId="0" fontId="102" fillId="38" borderId="10" xfId="0" applyFont="1" applyFill="1" applyBorder="1" applyAlignment="1" applyProtection="1">
      <alignment horizontal="center" vertical="center"/>
      <protection hidden="1"/>
    </xf>
    <xf numFmtId="0" fontId="103" fillId="38" borderId="11" xfId="0" applyFont="1" applyFill="1" applyBorder="1" applyAlignment="1" applyProtection="1">
      <alignment vertical="center"/>
      <protection hidden="1"/>
    </xf>
    <xf numFmtId="166" fontId="103" fillId="38" borderId="12" xfId="0" applyNumberFormat="1" applyFont="1" applyFill="1" applyBorder="1" applyAlignment="1" applyProtection="1">
      <alignment horizontal="right" vertical="center" wrapText="1"/>
      <protection hidden="1"/>
    </xf>
    <xf numFmtId="0" fontId="103" fillId="38" borderId="11" xfId="0" applyFont="1" applyFill="1" applyBorder="1" applyAlignment="1" applyProtection="1">
      <alignment horizontal="center" vertical="center" wrapText="1"/>
      <protection hidden="1"/>
    </xf>
    <xf numFmtId="166" fontId="103" fillId="38" borderId="14" xfId="0" applyNumberFormat="1" applyFont="1" applyFill="1" applyBorder="1" applyAlignment="1" applyProtection="1">
      <alignment horizontal="right" vertical="center" wrapText="1"/>
      <protection hidden="1"/>
    </xf>
    <xf numFmtId="0" fontId="102" fillId="38" borderId="13" xfId="0" applyFont="1" applyFill="1" applyBorder="1" applyAlignment="1" applyProtection="1">
      <alignment horizontal="center" vertical="center"/>
      <protection hidden="1"/>
    </xf>
    <xf numFmtId="0" fontId="109" fillId="38" borderId="27" xfId="0" applyFont="1" applyFill="1" applyBorder="1" applyAlignment="1" applyProtection="1">
      <alignment vertical="center"/>
      <protection hidden="1"/>
    </xf>
    <xf numFmtId="166" fontId="103" fillId="38" borderId="27" xfId="0" applyNumberFormat="1" applyFont="1" applyFill="1" applyBorder="1" applyAlignment="1" applyProtection="1">
      <alignment horizontal="right" vertical="center" wrapText="1"/>
      <protection hidden="1"/>
    </xf>
    <xf numFmtId="0" fontId="103" fillId="38" borderId="15" xfId="0" applyFont="1" applyFill="1" applyBorder="1" applyAlignment="1" applyProtection="1">
      <alignment horizontal="center" vertical="center" wrapText="1"/>
      <protection hidden="1"/>
    </xf>
    <xf numFmtId="0" fontId="110" fillId="34" borderId="28" xfId="56" applyFont="1" applyFill="1" applyBorder="1" applyAlignment="1" applyProtection="1">
      <alignment/>
      <protection hidden="1"/>
    </xf>
    <xf numFmtId="1" fontId="14" fillId="34" borderId="0" xfId="56" applyNumberFormat="1" applyFont="1" applyFill="1" applyBorder="1" applyAlignment="1" applyProtection="1">
      <alignment horizontal="center" vertical="center"/>
      <protection hidden="1"/>
    </xf>
    <xf numFmtId="164" fontId="14" fillId="34" borderId="0" xfId="56" applyNumberFormat="1" applyFont="1" applyFill="1" applyBorder="1" applyAlignment="1" applyProtection="1">
      <alignment horizontal="left"/>
      <protection hidden="1"/>
    </xf>
    <xf numFmtId="0" fontId="103" fillId="38" borderId="15" xfId="0" applyFont="1" applyFill="1" applyBorder="1" applyAlignment="1" applyProtection="1">
      <alignment vertical="center"/>
      <protection hidden="1"/>
    </xf>
    <xf numFmtId="164" fontId="11" fillId="33" borderId="24" xfId="56" applyNumberFormat="1" applyFont="1" applyFill="1" applyBorder="1" applyAlignment="1" applyProtection="1">
      <alignment horizontal="right" vertical="center"/>
      <protection hidden="1"/>
    </xf>
    <xf numFmtId="1" fontId="11" fillId="33" borderId="24" xfId="56" applyNumberFormat="1" applyFont="1" applyFill="1" applyBorder="1" applyAlignment="1" applyProtection="1">
      <alignment horizontal="center" vertical="center"/>
      <protection hidden="1"/>
    </xf>
    <xf numFmtId="0" fontId="111" fillId="38" borderId="13" xfId="56" applyFont="1" applyFill="1" applyBorder="1" applyAlignment="1" applyProtection="1">
      <alignment vertical="center"/>
      <protection hidden="1"/>
    </xf>
    <xf numFmtId="166" fontId="111" fillId="38" borderId="14" xfId="56" applyNumberFormat="1" applyFont="1" applyFill="1" applyBorder="1" applyAlignment="1" applyProtection="1">
      <alignment horizontal="right" vertical="center"/>
      <protection hidden="1"/>
    </xf>
    <xf numFmtId="164" fontId="11" fillId="33" borderId="29" xfId="56" applyNumberFormat="1" applyFont="1" applyFill="1" applyBorder="1" applyAlignment="1" applyProtection="1">
      <alignment horizontal="right" vertical="center"/>
      <protection hidden="1"/>
    </xf>
    <xf numFmtId="1" fontId="11" fillId="33" borderId="29" xfId="56" applyNumberFormat="1" applyFont="1" applyFill="1" applyBorder="1" applyAlignment="1" applyProtection="1">
      <alignment horizontal="center" vertical="center"/>
      <protection hidden="1"/>
    </xf>
    <xf numFmtId="166" fontId="111" fillId="38" borderId="16" xfId="56" applyNumberFormat="1" applyFont="1" applyFill="1" applyBorder="1" applyAlignment="1" applyProtection="1">
      <alignment horizontal="right" vertical="center"/>
      <protection hidden="1"/>
    </xf>
    <xf numFmtId="0" fontId="9" fillId="0" borderId="0" xfId="56" applyFont="1" applyFill="1" applyAlignment="1" applyProtection="1">
      <alignment horizontal="left"/>
      <protection hidden="1"/>
    </xf>
    <xf numFmtId="0" fontId="13" fillId="33" borderId="0" xfId="56" applyFont="1" applyFill="1" applyBorder="1" applyAlignment="1" applyProtection="1">
      <alignment horizontal="left"/>
      <protection hidden="1"/>
    </xf>
    <xf numFmtId="164" fontId="7" fillId="33" borderId="30" xfId="56" applyNumberFormat="1" applyFont="1" applyFill="1" applyBorder="1" applyProtection="1">
      <alignment/>
      <protection hidden="1"/>
    </xf>
    <xf numFmtId="1" fontId="7" fillId="33" borderId="30" xfId="56" applyNumberFormat="1" applyFont="1" applyFill="1" applyBorder="1" applyAlignment="1" applyProtection="1">
      <alignment horizontal="center" vertical="center"/>
      <protection hidden="1"/>
    </xf>
    <xf numFmtId="49" fontId="2" fillId="33" borderId="31" xfId="56" applyNumberFormat="1" applyFont="1" applyFill="1" applyBorder="1" applyProtection="1">
      <alignment/>
      <protection hidden="1"/>
    </xf>
    <xf numFmtId="0" fontId="9" fillId="0" borderId="0" xfId="56" applyFont="1" applyFill="1" applyBorder="1" applyAlignment="1" applyProtection="1">
      <alignment horizontal="left"/>
      <protection hidden="1"/>
    </xf>
    <xf numFmtId="0" fontId="110" fillId="34" borderId="32" xfId="56" applyFont="1" applyFill="1" applyBorder="1" applyAlignment="1" applyProtection="1">
      <alignment/>
      <protection hidden="1"/>
    </xf>
    <xf numFmtId="0" fontId="9" fillId="33" borderId="32" xfId="56" applyFont="1" applyFill="1" applyBorder="1" applyAlignment="1" applyProtection="1">
      <alignment horizontal="left"/>
      <protection hidden="1"/>
    </xf>
    <xf numFmtId="0" fontId="103" fillId="38" borderId="27" xfId="0" applyFont="1" applyFill="1" applyBorder="1" applyAlignment="1" applyProtection="1">
      <alignment vertical="center"/>
      <protection hidden="1"/>
    </xf>
    <xf numFmtId="166" fontId="103" fillId="38" borderId="33" xfId="0" applyNumberFormat="1" applyFont="1" applyFill="1" applyBorder="1" applyAlignment="1" applyProtection="1">
      <alignment horizontal="right" vertical="center" wrapText="1"/>
      <protection hidden="1"/>
    </xf>
    <xf numFmtId="0" fontId="103" fillId="38" borderId="27" xfId="0" applyFont="1" applyFill="1" applyBorder="1" applyAlignment="1" applyProtection="1">
      <alignment horizontal="center" vertical="center" wrapText="1"/>
      <protection hidden="1"/>
    </xf>
    <xf numFmtId="0" fontId="112" fillId="0" borderId="0" xfId="56" applyFont="1" applyProtection="1">
      <alignment/>
      <protection hidden="1"/>
    </xf>
    <xf numFmtId="0" fontId="2" fillId="0" borderId="0" xfId="56" applyFill="1" applyProtection="1" quotePrefix="1">
      <alignment/>
      <protection hidden="1"/>
    </xf>
    <xf numFmtId="0" fontId="102" fillId="38" borderId="34" xfId="0" applyFont="1" applyFill="1" applyBorder="1" applyAlignment="1" applyProtection="1">
      <alignment horizontal="center" vertical="center"/>
      <protection hidden="1"/>
    </xf>
    <xf numFmtId="0" fontId="113" fillId="0" borderId="0" xfId="56" applyFont="1" applyFill="1" applyProtection="1">
      <alignment/>
      <protection hidden="1"/>
    </xf>
    <xf numFmtId="0" fontId="113" fillId="0" borderId="35" xfId="56" applyFont="1" applyFill="1" applyBorder="1" applyProtection="1">
      <alignment/>
      <protection hidden="1"/>
    </xf>
    <xf numFmtId="0" fontId="113" fillId="0" borderId="16" xfId="56" applyFont="1" applyFill="1" applyBorder="1" applyProtection="1">
      <alignment/>
      <protection hidden="1"/>
    </xf>
    <xf numFmtId="166" fontId="103" fillId="38" borderId="0" xfId="0" applyNumberFormat="1" applyFont="1" applyFill="1" applyBorder="1" applyAlignment="1" applyProtection="1">
      <alignment horizontal="right" vertical="center" wrapText="1"/>
      <protection hidden="1"/>
    </xf>
    <xf numFmtId="0" fontId="102" fillId="39" borderId="34" xfId="0" applyFont="1" applyFill="1" applyBorder="1" applyAlignment="1" applyProtection="1">
      <alignment horizontal="center" vertical="center"/>
      <protection hidden="1"/>
    </xf>
    <xf numFmtId="0" fontId="2" fillId="39" borderId="36" xfId="56" applyFont="1" applyFill="1" applyBorder="1" applyAlignment="1" applyProtection="1">
      <alignment vertical="center"/>
      <protection hidden="1"/>
    </xf>
    <xf numFmtId="166" fontId="2" fillId="39" borderId="37" xfId="56" applyNumberFormat="1" applyFont="1" applyFill="1" applyBorder="1" applyAlignment="1" applyProtection="1">
      <alignment horizontal="right" vertical="center"/>
      <protection hidden="1"/>
    </xf>
    <xf numFmtId="0" fontId="103" fillId="39" borderId="11" xfId="0" applyFont="1" applyFill="1" applyBorder="1" applyAlignment="1" applyProtection="1">
      <alignment horizontal="center" vertical="center" wrapText="1"/>
      <protection hidden="1"/>
    </xf>
    <xf numFmtId="166" fontId="103" fillId="39" borderId="14" xfId="0" applyNumberFormat="1" applyFont="1" applyFill="1" applyBorder="1" applyAlignment="1" applyProtection="1">
      <alignment horizontal="right" vertical="center" wrapText="1"/>
      <protection hidden="1"/>
    </xf>
    <xf numFmtId="0" fontId="103" fillId="39" borderId="15" xfId="0" applyFont="1" applyFill="1" applyBorder="1" applyAlignment="1" applyProtection="1">
      <alignment horizontal="center" vertical="center" wrapText="1"/>
      <protection hidden="1"/>
    </xf>
    <xf numFmtId="0" fontId="2" fillId="39" borderId="26" xfId="56" applyFont="1" applyFill="1" applyBorder="1" applyAlignment="1" applyProtection="1">
      <alignment vertical="center"/>
      <protection hidden="1"/>
    </xf>
    <xf numFmtId="166" fontId="2" fillId="39" borderId="21" xfId="56" applyNumberFormat="1" applyFont="1" applyFill="1" applyBorder="1" applyAlignment="1" applyProtection="1">
      <alignment horizontal="right" vertical="center"/>
      <protection hidden="1"/>
    </xf>
    <xf numFmtId="166" fontId="2" fillId="0" borderId="0" xfId="56" applyNumberFormat="1" applyFill="1" applyProtection="1">
      <alignment/>
      <protection hidden="1"/>
    </xf>
    <xf numFmtId="164" fontId="7" fillId="0" borderId="0" xfId="56" applyNumberFormat="1" applyFont="1" applyProtection="1">
      <alignment/>
      <protection hidden="1"/>
    </xf>
    <xf numFmtId="0" fontId="7" fillId="0" borderId="0" xfId="56" applyFont="1" applyAlignment="1" applyProtection="1">
      <alignment horizontal="center" vertical="center"/>
      <protection hidden="1"/>
    </xf>
    <xf numFmtId="0" fontId="101" fillId="0" borderId="0" xfId="0" applyFont="1" applyFill="1" applyBorder="1" applyAlignment="1" applyProtection="1">
      <alignment vertical="center" textRotation="90"/>
      <protection hidden="1"/>
    </xf>
    <xf numFmtId="0" fontId="102" fillId="0" borderId="34" xfId="0" applyFont="1" applyFill="1" applyBorder="1" applyAlignment="1" applyProtection="1">
      <alignment horizontal="center" vertical="center"/>
      <protection hidden="1"/>
    </xf>
    <xf numFmtId="0" fontId="2" fillId="0" borderId="26" xfId="56" applyFont="1" applyFill="1" applyBorder="1" applyAlignment="1" applyProtection="1">
      <alignment vertical="center"/>
      <protection hidden="1"/>
    </xf>
    <xf numFmtId="166" fontId="2" fillId="0" borderId="21" xfId="56" applyNumberFormat="1" applyFont="1" applyFill="1" applyBorder="1" applyAlignment="1" applyProtection="1">
      <alignment horizontal="right" vertical="center"/>
      <protection hidden="1"/>
    </xf>
    <xf numFmtId="0" fontId="103" fillId="0" borderId="15" xfId="0" applyFont="1" applyFill="1" applyBorder="1" applyAlignment="1" applyProtection="1">
      <alignment horizontal="center" vertical="center" wrapText="1"/>
      <protection hidden="1"/>
    </xf>
    <xf numFmtId="166" fontId="10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03" fillId="0" borderId="27" xfId="0" applyFont="1" applyFill="1" applyBorder="1" applyAlignment="1" applyProtection="1">
      <alignment vertical="center"/>
      <protection hidden="1"/>
    </xf>
    <xf numFmtId="166" fontId="103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103" fillId="0" borderId="27" xfId="0" applyFont="1" applyFill="1" applyBorder="1" applyAlignment="1" applyProtection="1">
      <alignment horizontal="center" vertical="center" wrapText="1"/>
      <protection hidden="1"/>
    </xf>
    <xf numFmtId="171" fontId="2" fillId="0" borderId="34" xfId="0" applyNumberFormat="1" applyFont="1" applyFill="1" applyBorder="1" applyAlignment="1" applyProtection="1">
      <alignment horizontal="right" vertical="center" wrapText="1"/>
      <protection hidden="1"/>
    </xf>
    <xf numFmtId="170" fontId="2" fillId="0" borderId="33" xfId="56" applyNumberFormat="1" applyFont="1" applyBorder="1" applyProtection="1">
      <alignment/>
      <protection hidden="1"/>
    </xf>
    <xf numFmtId="0" fontId="26" fillId="0" borderId="0" xfId="56" applyFont="1" applyProtection="1">
      <alignment/>
      <protection hidden="1"/>
    </xf>
    <xf numFmtId="171" fontId="2" fillId="0" borderId="0" xfId="56" applyNumberFormat="1" applyFill="1" applyProtection="1">
      <alignment/>
      <protection hidden="1"/>
    </xf>
    <xf numFmtId="170" fontId="2" fillId="0" borderId="0" xfId="56" applyNumberFormat="1" applyProtection="1">
      <alignment/>
      <protection hidden="1"/>
    </xf>
    <xf numFmtId="0" fontId="2" fillId="0" borderId="0" xfId="56" applyAlignment="1" applyProtection="1">
      <alignment horizontal="center" vertical="center"/>
      <protection hidden="1"/>
    </xf>
    <xf numFmtId="2" fontId="2" fillId="0" borderId="0" xfId="56" applyNumberFormat="1" applyAlignment="1" applyProtection="1">
      <alignment horizontal="center" vertical="center"/>
      <protection hidden="1"/>
    </xf>
    <xf numFmtId="0" fontId="4" fillId="0" borderId="0" xfId="56" applyFont="1" applyAlignment="1" applyProtection="1">
      <alignment horizontal="center" vertical="center" wrapText="1"/>
      <protection hidden="1"/>
    </xf>
    <xf numFmtId="49" fontId="2" fillId="0" borderId="0" xfId="56" applyNumberFormat="1" applyAlignment="1" applyProtection="1">
      <alignment horizontal="center" vertical="center"/>
      <protection hidden="1"/>
    </xf>
    <xf numFmtId="0" fontId="2" fillId="0" borderId="0" xfId="56" applyBorder="1" applyAlignment="1" applyProtection="1">
      <alignment horizontal="center" vertical="center"/>
      <protection hidden="1"/>
    </xf>
    <xf numFmtId="0" fontId="2" fillId="0" borderId="11" xfId="56" applyBorder="1" applyAlignment="1" applyProtection="1">
      <alignment horizontal="center" vertical="center"/>
      <protection hidden="1"/>
    </xf>
    <xf numFmtId="0" fontId="2" fillId="0" borderId="12" xfId="56" applyBorder="1" applyAlignment="1" applyProtection="1">
      <alignment horizontal="center" vertical="center"/>
      <protection hidden="1"/>
    </xf>
    <xf numFmtId="0" fontId="4" fillId="40" borderId="0" xfId="56" applyFont="1" applyFill="1" applyAlignment="1" applyProtection="1">
      <alignment horizontal="left" vertical="center"/>
      <protection hidden="1"/>
    </xf>
    <xf numFmtId="0" fontId="2" fillId="40" borderId="0" xfId="56" applyFill="1" applyAlignment="1" applyProtection="1">
      <alignment horizontal="center" vertical="center"/>
      <protection hidden="1"/>
    </xf>
    <xf numFmtId="2" fontId="2" fillId="40" borderId="0" xfId="56" applyNumberFormat="1" applyFill="1" applyAlignment="1" applyProtection="1">
      <alignment horizontal="center" vertical="center"/>
      <protection hidden="1"/>
    </xf>
    <xf numFmtId="0" fontId="4" fillId="40" borderId="0" xfId="56" applyFont="1" applyFill="1" applyAlignment="1" applyProtection="1">
      <alignment horizontal="center" vertical="center" wrapText="1"/>
      <protection hidden="1"/>
    </xf>
    <xf numFmtId="49" fontId="2" fillId="40" borderId="0" xfId="56" applyNumberFormat="1" applyFill="1" applyAlignment="1" applyProtection="1">
      <alignment horizontal="center" vertical="center"/>
      <protection hidden="1"/>
    </xf>
    <xf numFmtId="0" fontId="2" fillId="40" borderId="0" xfId="56" applyFill="1" applyBorder="1" applyAlignment="1" applyProtection="1">
      <alignment horizontal="center" vertical="center"/>
      <protection hidden="1"/>
    </xf>
    <xf numFmtId="0" fontId="2" fillId="40" borderId="0" xfId="56" applyFill="1" applyBorder="1" applyAlignment="1" applyProtection="1">
      <alignment horizontal="left" vertical="center"/>
      <protection hidden="1"/>
    </xf>
    <xf numFmtId="0" fontId="4" fillId="40" borderId="0" xfId="56" applyFont="1" applyFill="1" applyBorder="1" applyAlignment="1" applyProtection="1">
      <alignment horizontal="left" vertical="center"/>
      <protection hidden="1"/>
    </xf>
    <xf numFmtId="0" fontId="4" fillId="40" borderId="0" xfId="56" applyFont="1" applyFill="1" applyAlignment="1" applyProtection="1">
      <alignment horizontal="right" vertical="center"/>
      <protection hidden="1"/>
    </xf>
    <xf numFmtId="0" fontId="2" fillId="40" borderId="0" xfId="56" applyFill="1" applyAlignment="1" applyProtection="1">
      <alignment horizontal="left" vertical="center"/>
      <protection hidden="1"/>
    </xf>
    <xf numFmtId="0" fontId="4" fillId="40" borderId="0" xfId="56" applyFont="1" applyFill="1" applyAlignment="1" applyProtection="1">
      <alignment horizontal="center" vertical="center"/>
      <protection hidden="1"/>
    </xf>
    <xf numFmtId="0" fontId="16" fillId="0" borderId="13" xfId="56" applyFont="1" applyBorder="1" applyAlignment="1" applyProtection="1">
      <alignment horizontal="center" vertical="top" wrapText="1"/>
      <protection hidden="1"/>
    </xf>
    <xf numFmtId="0" fontId="16" fillId="0" borderId="15" xfId="56" applyFont="1" applyFill="1" applyBorder="1" applyAlignment="1" applyProtection="1">
      <alignment horizontal="center" vertical="top" wrapText="1"/>
      <protection hidden="1"/>
    </xf>
    <xf numFmtId="0" fontId="16" fillId="0" borderId="15" xfId="56" applyFont="1" applyBorder="1" applyAlignment="1" applyProtection="1">
      <alignment horizontal="center" vertical="top" wrapText="1"/>
      <protection hidden="1"/>
    </xf>
    <xf numFmtId="0" fontId="16" fillId="0" borderId="14" xfId="56" applyFont="1" applyFill="1" applyBorder="1" applyAlignment="1" applyProtection="1">
      <alignment horizontal="center" vertical="top" wrapText="1"/>
      <protection hidden="1"/>
    </xf>
    <xf numFmtId="0" fontId="4" fillId="0" borderId="0" xfId="56" applyFont="1" applyFill="1" applyAlignment="1" applyProtection="1">
      <alignment horizontal="center" vertical="center"/>
      <protection hidden="1"/>
    </xf>
    <xf numFmtId="0" fontId="2" fillId="0" borderId="0" xfId="56" applyFill="1" applyAlignment="1" applyProtection="1">
      <alignment horizontal="center" vertical="center"/>
      <protection hidden="1"/>
    </xf>
    <xf numFmtId="0" fontId="4" fillId="18" borderId="0" xfId="56" applyFont="1" applyFill="1" applyAlignment="1" applyProtection="1">
      <alignment horizontal="left" vertical="center"/>
      <protection hidden="1"/>
    </xf>
    <xf numFmtId="0" fontId="2" fillId="18" borderId="0" xfId="56" applyFill="1" applyAlignment="1" applyProtection="1">
      <alignment horizontal="center" vertical="center"/>
      <protection hidden="1"/>
    </xf>
    <xf numFmtId="2" fontId="2" fillId="18" borderId="0" xfId="56" applyNumberFormat="1" applyFill="1" applyAlignment="1" applyProtection="1">
      <alignment horizontal="center" vertical="center"/>
      <protection hidden="1"/>
    </xf>
    <xf numFmtId="0" fontId="4" fillId="18" borderId="0" xfId="56" applyFont="1" applyFill="1" applyAlignment="1" applyProtection="1">
      <alignment horizontal="center" vertical="center" wrapText="1"/>
      <protection hidden="1"/>
    </xf>
    <xf numFmtId="49" fontId="2" fillId="18" borderId="0" xfId="56" applyNumberFormat="1" applyFill="1" applyAlignment="1" applyProtection="1">
      <alignment horizontal="center" vertical="center"/>
      <protection hidden="1"/>
    </xf>
    <xf numFmtId="0" fontId="2" fillId="18" borderId="0" xfId="56" applyFill="1" applyBorder="1" applyAlignment="1" applyProtection="1">
      <alignment horizontal="center" vertical="center"/>
      <protection hidden="1"/>
    </xf>
    <xf numFmtId="0" fontId="4" fillId="18" borderId="0" xfId="56" applyFont="1" applyFill="1" applyAlignment="1" applyProtection="1">
      <alignment horizontal="center" vertical="center"/>
      <protection hidden="1"/>
    </xf>
    <xf numFmtId="0" fontId="4" fillId="3" borderId="0" xfId="56" applyFont="1" applyFill="1" applyAlignment="1" applyProtection="1">
      <alignment horizontal="left" vertical="center"/>
      <protection hidden="1"/>
    </xf>
    <xf numFmtId="0" fontId="2" fillId="3" borderId="0" xfId="56" applyFill="1" applyAlignment="1" applyProtection="1">
      <alignment horizontal="center" vertical="center"/>
      <protection hidden="1"/>
    </xf>
    <xf numFmtId="2" fontId="2" fillId="3" borderId="0" xfId="56" applyNumberFormat="1" applyFill="1" applyAlignment="1" applyProtection="1">
      <alignment horizontal="center" vertical="center"/>
      <protection hidden="1"/>
    </xf>
    <xf numFmtId="0" fontId="4" fillId="3" borderId="0" xfId="56" applyFont="1" applyFill="1" applyAlignment="1" applyProtection="1">
      <alignment horizontal="center" vertical="center" wrapText="1"/>
      <protection hidden="1"/>
    </xf>
    <xf numFmtId="49" fontId="2" fillId="3" borderId="0" xfId="56" applyNumberFormat="1" applyFill="1" applyAlignment="1" applyProtection="1">
      <alignment horizontal="center" vertical="center"/>
      <protection hidden="1"/>
    </xf>
    <xf numFmtId="0" fontId="2" fillId="3" borderId="0" xfId="56" applyFill="1" applyBorder="1" applyAlignment="1" applyProtection="1">
      <alignment horizontal="center" vertical="center"/>
      <protection hidden="1"/>
    </xf>
    <xf numFmtId="0" fontId="4" fillId="3" borderId="0" xfId="56" applyFont="1" applyFill="1" applyAlignment="1" applyProtection="1">
      <alignment horizontal="center" vertical="center"/>
      <protection hidden="1"/>
    </xf>
    <xf numFmtId="0" fontId="4" fillId="3" borderId="38" xfId="56" applyFont="1" applyFill="1" applyBorder="1" applyAlignment="1" applyProtection="1">
      <alignment horizontal="center" vertical="center"/>
      <protection hidden="1"/>
    </xf>
    <xf numFmtId="0" fontId="4" fillId="18" borderId="38" xfId="56" applyFont="1" applyFill="1" applyBorder="1" applyAlignment="1" applyProtection="1">
      <alignment horizontal="center" vertical="center"/>
      <protection hidden="1"/>
    </xf>
    <xf numFmtId="0" fontId="4" fillId="40" borderId="38" xfId="56" applyFont="1" applyFill="1" applyBorder="1" applyAlignment="1" applyProtection="1">
      <alignment horizontal="center" vertical="center"/>
      <protection hidden="1"/>
    </xf>
    <xf numFmtId="2" fontId="2" fillId="0" borderId="11" xfId="56" applyNumberFormat="1" applyBorder="1" applyAlignment="1" applyProtection="1">
      <alignment horizontal="center" vertical="center"/>
      <protection hidden="1"/>
    </xf>
    <xf numFmtId="0" fontId="4" fillId="0" borderId="12" xfId="56" applyFont="1" applyBorder="1" applyAlignment="1" applyProtection="1">
      <alignment horizontal="center" vertical="center" wrapText="1"/>
      <protection hidden="1"/>
    </xf>
    <xf numFmtId="0" fontId="4" fillId="3" borderId="0" xfId="56" applyFont="1" applyFill="1" applyBorder="1" applyAlignment="1" applyProtection="1">
      <alignment horizontal="center" vertical="center" wrapText="1"/>
      <protection hidden="1"/>
    </xf>
    <xf numFmtId="0" fontId="4" fillId="18" borderId="0" xfId="56" applyFont="1" applyFill="1" applyBorder="1" applyAlignment="1" applyProtection="1">
      <alignment horizontal="center" vertical="center" wrapText="1"/>
      <protection hidden="1"/>
    </xf>
    <xf numFmtId="0" fontId="4" fillId="40" borderId="0" xfId="56" applyFont="1" applyFill="1" applyBorder="1" applyAlignment="1" applyProtection="1">
      <alignment horizontal="center" vertical="center" wrapText="1"/>
      <protection hidden="1"/>
    </xf>
    <xf numFmtId="49" fontId="2" fillId="0" borderId="10" xfId="56" applyNumberFormat="1" applyFont="1" applyBorder="1" applyAlignment="1" applyProtection="1">
      <alignment horizontal="center" vertical="center" wrapText="1"/>
      <protection hidden="1"/>
    </xf>
    <xf numFmtId="2" fontId="2" fillId="0" borderId="0" xfId="56" applyNumberFormat="1" applyBorder="1" applyAlignment="1" applyProtection="1">
      <alignment horizontal="center" vertical="center" wrapText="1"/>
      <protection hidden="1"/>
    </xf>
    <xf numFmtId="0" fontId="2" fillId="0" borderId="0" xfId="56" applyFill="1" applyAlignment="1" applyProtection="1">
      <alignment horizontal="center" vertical="center" wrapText="1"/>
      <protection hidden="1"/>
    </xf>
    <xf numFmtId="0" fontId="2" fillId="0" borderId="16" xfId="56" applyFill="1" applyBorder="1" applyAlignment="1" applyProtection="1">
      <alignment horizontal="center" vertical="center"/>
      <protection hidden="1"/>
    </xf>
    <xf numFmtId="0" fontId="2" fillId="0" borderId="13" xfId="56" applyFill="1" applyBorder="1" applyAlignment="1" applyProtection="1">
      <alignment horizontal="center" vertical="center"/>
      <protection hidden="1"/>
    </xf>
    <xf numFmtId="1" fontId="2" fillId="0" borderId="15" xfId="56" applyNumberFormat="1" applyFill="1" applyBorder="1" applyAlignment="1" applyProtection="1">
      <alignment horizontal="center" vertical="center"/>
      <protection hidden="1"/>
    </xf>
    <xf numFmtId="0" fontId="4" fillId="0" borderId="14" xfId="56" applyFont="1" applyFill="1" applyBorder="1" applyAlignment="1" applyProtection="1">
      <alignment horizontal="center" vertical="center" wrapText="1"/>
      <protection hidden="1"/>
    </xf>
    <xf numFmtId="49" fontId="2" fillId="0" borderId="13" xfId="56" applyNumberFormat="1" applyFill="1" applyBorder="1" applyAlignment="1" applyProtection="1">
      <alignment horizontal="center" vertical="center"/>
      <protection hidden="1"/>
    </xf>
    <xf numFmtId="0" fontId="2" fillId="0" borderId="14" xfId="56" applyBorder="1" applyAlignment="1" applyProtection="1">
      <alignment horizontal="center" vertical="center"/>
      <protection hidden="1"/>
    </xf>
    <xf numFmtId="2" fontId="2" fillId="0" borderId="0" xfId="56" applyNumberFormat="1" applyBorder="1" applyAlignment="1" applyProtection="1">
      <alignment horizontal="center" vertical="center"/>
      <protection hidden="1"/>
    </xf>
    <xf numFmtId="0" fontId="2" fillId="0" borderId="15" xfId="56" applyBorder="1" applyAlignment="1" applyProtection="1">
      <alignment horizontal="center" vertical="center"/>
      <protection hidden="1"/>
    </xf>
    <xf numFmtId="0" fontId="2" fillId="0" borderId="34" xfId="56" applyBorder="1" applyAlignment="1" applyProtection="1">
      <alignment horizontal="center" vertical="center"/>
      <protection hidden="1"/>
    </xf>
    <xf numFmtId="0" fontId="2" fillId="0" borderId="27" xfId="56" applyBorder="1" applyAlignment="1" applyProtection="1">
      <alignment horizontal="center" vertical="center"/>
      <protection hidden="1"/>
    </xf>
    <xf numFmtId="0" fontId="2" fillId="0" borderId="33" xfId="56" applyBorder="1" applyAlignment="1" applyProtection="1">
      <alignment horizontal="center" vertical="center"/>
      <protection hidden="1"/>
    </xf>
    <xf numFmtId="0" fontId="17" fillId="3" borderId="0" xfId="56" applyFont="1" applyFill="1" applyBorder="1" applyAlignment="1" applyProtection="1">
      <alignment horizontal="center" vertical="center"/>
      <protection hidden="1"/>
    </xf>
    <xf numFmtId="0" fontId="17" fillId="18" borderId="0" xfId="56" applyFont="1" applyFill="1" applyBorder="1" applyAlignment="1" applyProtection="1">
      <alignment horizontal="center" vertical="center"/>
      <protection hidden="1"/>
    </xf>
    <xf numFmtId="0" fontId="17" fillId="40" borderId="0" xfId="56" applyFont="1" applyFill="1" applyBorder="1" applyAlignment="1" applyProtection="1">
      <alignment horizontal="center" vertical="center"/>
      <protection hidden="1"/>
    </xf>
    <xf numFmtId="2" fontId="2" fillId="0" borderId="15" xfId="56" applyNumberFormat="1" applyFill="1" applyBorder="1" applyAlignment="1" applyProtection="1">
      <alignment horizontal="center" vertical="center"/>
      <protection hidden="1"/>
    </xf>
    <xf numFmtId="168" fontId="2" fillId="41" borderId="13" xfId="56" applyNumberFormat="1" applyFill="1" applyBorder="1" applyAlignment="1" applyProtection="1">
      <alignment horizontal="center" vertical="center"/>
      <protection hidden="1"/>
    </xf>
    <xf numFmtId="168" fontId="2" fillId="42" borderId="15" xfId="56" applyNumberFormat="1" applyFill="1" applyBorder="1" applyAlignment="1" applyProtection="1">
      <alignment horizontal="center" vertical="center"/>
      <protection hidden="1"/>
    </xf>
    <xf numFmtId="168" fontId="2" fillId="42" borderId="13" xfId="56" applyNumberFormat="1" applyFill="1" applyBorder="1" applyAlignment="1" applyProtection="1">
      <alignment horizontal="center" vertical="center"/>
      <protection hidden="1"/>
    </xf>
    <xf numFmtId="1" fontId="2" fillId="42" borderId="15" xfId="56" applyNumberFormat="1" applyFill="1" applyBorder="1" applyAlignment="1" applyProtection="1">
      <alignment horizontal="center" vertical="center"/>
      <protection hidden="1"/>
    </xf>
    <xf numFmtId="1" fontId="114" fillId="43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Alignment="1" applyProtection="1">
      <alignment horizontal="center" vertical="center"/>
      <protection hidden="1"/>
    </xf>
    <xf numFmtId="10" fontId="2" fillId="0" borderId="0" xfId="56" applyNumberFormat="1" applyAlignment="1" applyProtection="1">
      <alignment horizontal="center" vertical="center"/>
      <protection hidden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168" fontId="2" fillId="41" borderId="34" xfId="56" applyNumberFormat="1" applyFill="1" applyBorder="1" applyAlignment="1" applyProtection="1">
      <alignment horizontal="center" vertical="center"/>
      <protection hidden="1"/>
    </xf>
    <xf numFmtId="168" fontId="2" fillId="41" borderId="39" xfId="56" applyNumberFormat="1" applyFill="1" applyBorder="1" applyAlignment="1" applyProtection="1">
      <alignment horizontal="center" vertical="center"/>
      <protection hidden="1"/>
    </xf>
    <xf numFmtId="168" fontId="2" fillId="41" borderId="27" xfId="56" applyNumberFormat="1" applyFill="1" applyBorder="1" applyAlignment="1" applyProtection="1">
      <alignment horizontal="center" vertical="center"/>
      <protection hidden="1"/>
    </xf>
    <xf numFmtId="0" fontId="22" fillId="0" borderId="13" xfId="56" applyFont="1" applyFill="1" applyBorder="1" applyAlignment="1" applyProtection="1">
      <alignment horizontal="center" vertical="center"/>
      <protection hidden="1"/>
    </xf>
    <xf numFmtId="2" fontId="22" fillId="0" borderId="15" xfId="56" applyNumberFormat="1" applyFont="1" applyFill="1" applyBorder="1" applyAlignment="1" applyProtection="1">
      <alignment horizontal="center" vertical="center"/>
      <protection hidden="1"/>
    </xf>
    <xf numFmtId="0" fontId="23" fillId="0" borderId="0" xfId="56" applyFont="1" applyFill="1" applyBorder="1" applyAlignment="1" applyProtection="1">
      <alignment horizontal="center" vertical="center" wrapText="1"/>
      <protection hidden="1"/>
    </xf>
    <xf numFmtId="0" fontId="22" fillId="0" borderId="14" xfId="56" applyFont="1" applyBorder="1" applyAlignment="1" applyProtection="1">
      <alignment horizontal="center" vertical="center"/>
      <protection hidden="1"/>
    </xf>
    <xf numFmtId="2" fontId="2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56" applyFont="1" applyBorder="1" applyAlignment="1" applyProtection="1">
      <alignment horizontal="center" vertical="center"/>
      <protection hidden="1"/>
    </xf>
    <xf numFmtId="168" fontId="22" fillId="41" borderId="0" xfId="56" applyNumberFormat="1" applyFont="1" applyFill="1" applyBorder="1" applyAlignment="1" applyProtection="1">
      <alignment horizontal="center" vertical="center"/>
      <protection hidden="1"/>
    </xf>
    <xf numFmtId="168" fontId="19" fillId="41" borderId="38" xfId="56" applyNumberFormat="1" applyFont="1" applyFill="1" applyBorder="1" applyAlignment="1" applyProtection="1">
      <alignment horizontal="center" vertical="center"/>
      <protection hidden="1"/>
    </xf>
    <xf numFmtId="168" fontId="19" fillId="41" borderId="0" xfId="56" applyNumberFormat="1" applyFont="1" applyFill="1" applyBorder="1" applyAlignment="1" applyProtection="1">
      <alignment horizontal="center" vertical="center"/>
      <protection hidden="1"/>
    </xf>
    <xf numFmtId="168" fontId="22" fillId="42" borderId="15" xfId="56" applyNumberFormat="1" applyFont="1" applyFill="1" applyBorder="1" applyAlignment="1" applyProtection="1">
      <alignment horizontal="center" vertical="center"/>
      <protection hidden="1"/>
    </xf>
    <xf numFmtId="168" fontId="22" fillId="42" borderId="13" xfId="56" applyNumberFormat="1" applyFont="1" applyFill="1" applyBorder="1" applyAlignment="1" applyProtection="1">
      <alignment horizontal="center" vertical="center"/>
      <protection hidden="1"/>
    </xf>
    <xf numFmtId="1" fontId="22" fillId="42" borderId="15" xfId="56" applyNumberFormat="1" applyFont="1" applyFill="1" applyBorder="1" applyAlignment="1" applyProtection="1">
      <alignment horizontal="center" vertical="center"/>
      <protection hidden="1"/>
    </xf>
    <xf numFmtId="168" fontId="19" fillId="41" borderId="34" xfId="56" applyNumberFormat="1" applyFont="1" applyFill="1" applyBorder="1" applyAlignment="1" applyProtection="1">
      <alignment horizontal="center" vertical="center"/>
      <protection hidden="1"/>
    </xf>
    <xf numFmtId="168" fontId="19" fillId="41" borderId="39" xfId="56" applyNumberFormat="1" applyFont="1" applyFill="1" applyBorder="1" applyAlignment="1" applyProtection="1">
      <alignment horizontal="center" vertical="center"/>
      <protection hidden="1"/>
    </xf>
    <xf numFmtId="168" fontId="22" fillId="41" borderId="34" xfId="56" applyNumberFormat="1" applyFont="1" applyFill="1" applyBorder="1" applyAlignment="1" applyProtection="1">
      <alignment horizontal="center" vertical="center"/>
      <protection hidden="1"/>
    </xf>
    <xf numFmtId="168" fontId="22" fillId="41" borderId="39" xfId="56" applyNumberFormat="1" applyFont="1" applyFill="1" applyBorder="1" applyAlignment="1" applyProtection="1">
      <alignment horizontal="center" vertical="center"/>
      <protection hidden="1"/>
    </xf>
    <xf numFmtId="0" fontId="22" fillId="0" borderId="34" xfId="56" applyFont="1" applyFill="1" applyBorder="1" applyAlignment="1" applyProtection="1">
      <alignment horizontal="center" vertical="center"/>
      <protection hidden="1"/>
    </xf>
    <xf numFmtId="2" fontId="22" fillId="0" borderId="27" xfId="56" applyNumberFormat="1" applyFont="1" applyFill="1" applyBorder="1" applyAlignment="1" applyProtection="1">
      <alignment horizontal="center" vertical="center"/>
      <protection hidden="1"/>
    </xf>
    <xf numFmtId="0" fontId="22" fillId="0" borderId="33" xfId="56" applyFont="1" applyBorder="1" applyAlignment="1" applyProtection="1">
      <alignment horizontal="center" vertical="center"/>
      <protection hidden="1"/>
    </xf>
    <xf numFmtId="168" fontId="22" fillId="42" borderId="27" xfId="56" applyNumberFormat="1" applyFont="1" applyFill="1" applyBorder="1" applyAlignment="1" applyProtection="1">
      <alignment horizontal="center" vertical="center"/>
      <protection hidden="1"/>
    </xf>
    <xf numFmtId="168" fontId="22" fillId="42" borderId="34" xfId="56" applyNumberFormat="1" applyFont="1" applyFill="1" applyBorder="1" applyAlignment="1" applyProtection="1">
      <alignment horizontal="center" vertical="center"/>
      <protection hidden="1"/>
    </xf>
    <xf numFmtId="1" fontId="22" fillId="42" borderId="27" xfId="56" applyNumberFormat="1" applyFont="1" applyFill="1" applyBorder="1" applyAlignment="1" applyProtection="1">
      <alignment horizontal="center" vertical="center"/>
      <protection hidden="1"/>
    </xf>
    <xf numFmtId="1" fontId="115" fillId="43" borderId="33" xfId="56" applyNumberFormat="1" applyFont="1" applyFill="1" applyBorder="1" applyAlignment="1" applyProtection="1">
      <alignment horizontal="center" vertical="center"/>
      <protection hidden="1"/>
    </xf>
    <xf numFmtId="0" fontId="116" fillId="0" borderId="0" xfId="0" applyFont="1" applyAlignment="1">
      <alignment horizontal="left" indent="2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16" fillId="0" borderId="0" xfId="0" applyFont="1" applyFill="1" applyBorder="1" applyAlignment="1">
      <alignment horizontal="left" indent="2"/>
    </xf>
    <xf numFmtId="0" fontId="1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0" fontId="2" fillId="33" borderId="17" xfId="56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center"/>
      <protection hidden="1"/>
    </xf>
    <xf numFmtId="2" fontId="120" fillId="0" borderId="0" xfId="0" applyNumberFormat="1" applyFont="1" applyAlignment="1" applyProtection="1">
      <alignment vertical="center"/>
      <protection hidden="1"/>
    </xf>
    <xf numFmtId="0" fontId="120" fillId="0" borderId="0" xfId="0" applyFont="1" applyAlignment="1" applyProtection="1">
      <alignment vertical="center"/>
      <protection hidden="1"/>
    </xf>
    <xf numFmtId="0" fontId="121" fillId="0" borderId="0" xfId="0" applyFont="1" applyAlignment="1" applyProtection="1">
      <alignment vertical="center"/>
      <protection hidden="1"/>
    </xf>
    <xf numFmtId="0" fontId="122" fillId="0" borderId="0" xfId="0" applyFont="1" applyAlignment="1" applyProtection="1">
      <alignment vertical="center"/>
      <protection hidden="1"/>
    </xf>
    <xf numFmtId="0" fontId="123" fillId="0" borderId="0" xfId="0" applyFont="1" applyAlignment="1" applyProtection="1">
      <alignment vertical="center"/>
      <protection hidden="1"/>
    </xf>
    <xf numFmtId="0" fontId="124" fillId="0" borderId="0" xfId="56" applyFont="1" applyFill="1" applyBorder="1" applyAlignment="1" applyProtection="1">
      <alignment vertical="center"/>
      <protection hidden="1"/>
    </xf>
    <xf numFmtId="0" fontId="121" fillId="0" borderId="0" xfId="0" applyFont="1" applyBorder="1" applyAlignment="1" applyProtection="1">
      <alignment vertical="center"/>
      <protection hidden="1"/>
    </xf>
    <xf numFmtId="0" fontId="122" fillId="0" borderId="10" xfId="0" applyFont="1" applyBorder="1" applyAlignment="1" applyProtection="1">
      <alignment vertical="center"/>
      <protection hidden="1"/>
    </xf>
    <xf numFmtId="0" fontId="125" fillId="0" borderId="13" xfId="56" applyFont="1" applyFill="1" applyBorder="1" applyAlignment="1" applyProtection="1">
      <alignment horizontal="center" vertical="center"/>
      <protection hidden="1"/>
    </xf>
    <xf numFmtId="0" fontId="125" fillId="0" borderId="14" xfId="0" applyFont="1" applyBorder="1" applyAlignment="1" applyProtection="1">
      <alignment horizontal="center" vertical="center"/>
      <protection hidden="1"/>
    </xf>
    <xf numFmtId="169" fontId="2" fillId="0" borderId="14" xfId="56" applyNumberFormat="1" applyFont="1" applyFill="1" applyBorder="1" applyAlignment="1" applyProtection="1">
      <alignment horizontal="right" vertical="center"/>
      <protection hidden="1"/>
    </xf>
    <xf numFmtId="169" fontId="2" fillId="0" borderId="33" xfId="56" applyNumberFormat="1" applyFont="1" applyFill="1" applyBorder="1" applyAlignment="1" applyProtection="1">
      <alignment horizontal="right" vertical="center"/>
      <protection hidden="1"/>
    </xf>
    <xf numFmtId="2" fontId="125" fillId="0" borderId="11" xfId="0" applyNumberFormat="1" applyFont="1" applyFill="1" applyBorder="1" applyAlignment="1" applyProtection="1">
      <alignment horizontal="center" vertical="center"/>
      <protection hidden="1"/>
    </xf>
    <xf numFmtId="2" fontId="125" fillId="0" borderId="15" xfId="0" applyNumberFormat="1" applyFont="1" applyFill="1" applyBorder="1" applyAlignment="1" applyProtection="1">
      <alignment horizontal="center" vertical="center"/>
      <protection hidden="1"/>
    </xf>
    <xf numFmtId="0" fontId="125" fillId="0" borderId="12" xfId="0" applyFont="1" applyBorder="1" applyAlignment="1" applyProtection="1">
      <alignment horizontal="center" vertical="center"/>
      <protection hidden="1"/>
    </xf>
    <xf numFmtId="2" fontId="121" fillId="0" borderId="0" xfId="0" applyNumberFormat="1" applyFont="1" applyAlignment="1" applyProtection="1">
      <alignment vertical="center"/>
      <protection hidden="1"/>
    </xf>
    <xf numFmtId="0" fontId="123" fillId="0" borderId="0" xfId="0" applyFont="1" applyAlignment="1" applyProtection="1">
      <alignment horizontal="center" vertical="center"/>
      <protection hidden="1"/>
    </xf>
    <xf numFmtId="169" fontId="2" fillId="0" borderId="0" xfId="56" applyNumberFormat="1" applyFont="1" applyFill="1" applyBorder="1" applyAlignment="1" applyProtection="1">
      <alignment horizontal="right" vertical="center"/>
      <protection hidden="1"/>
    </xf>
    <xf numFmtId="0" fontId="12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30" fillId="0" borderId="34" xfId="56" applyNumberFormat="1" applyFont="1" applyFill="1" applyBorder="1" applyAlignment="1" applyProtection="1">
      <alignment horizontal="center"/>
      <protection hidden="1"/>
    </xf>
    <xf numFmtId="2" fontId="28" fillId="0" borderId="27" xfId="56" applyNumberFormat="1" applyFont="1" applyFill="1" applyBorder="1" applyAlignment="1" applyProtection="1">
      <alignment horizontal="center" vertical="center" wrapText="1"/>
      <protection hidden="1"/>
    </xf>
    <xf numFmtId="2" fontId="29" fillId="0" borderId="27" xfId="56" applyNumberFormat="1" applyFont="1" applyFill="1" applyBorder="1" applyAlignment="1" applyProtection="1">
      <alignment horizontal="center" vertical="center" wrapText="1"/>
      <protection hidden="1"/>
    </xf>
    <xf numFmtId="164" fontId="2" fillId="0" borderId="33" xfId="56" applyNumberFormat="1" applyFont="1" applyFill="1" applyBorder="1" applyAlignment="1" applyProtection="1">
      <alignment horizontal="center" vertical="center" wrapText="1"/>
      <protection hidden="1"/>
    </xf>
    <xf numFmtId="169" fontId="2" fillId="0" borderId="12" xfId="56" applyNumberFormat="1" applyFont="1" applyFill="1" applyBorder="1" applyAlignment="1" applyProtection="1">
      <alignment horizontal="right" vertical="center"/>
      <protection hidden="1"/>
    </xf>
    <xf numFmtId="0" fontId="2" fillId="0" borderId="10" xfId="56" applyFont="1" applyBorder="1" applyAlignment="1" applyProtection="1">
      <alignment vertical="center"/>
      <protection locked="0"/>
    </xf>
    <xf numFmtId="2" fontId="28" fillId="44" borderId="11" xfId="56" applyNumberFormat="1" applyFont="1" applyFill="1" applyBorder="1" applyAlignment="1" applyProtection="1">
      <alignment vertical="center"/>
      <protection locked="0"/>
    </xf>
    <xf numFmtId="2" fontId="29" fillId="11" borderId="11" xfId="56" applyNumberFormat="1" applyFont="1" applyFill="1" applyBorder="1" applyAlignment="1" applyProtection="1">
      <alignment horizontal="center" vertical="center"/>
      <protection locked="0"/>
    </xf>
    <xf numFmtId="0" fontId="2" fillId="0" borderId="13" xfId="56" applyFont="1" applyBorder="1" applyAlignment="1" applyProtection="1">
      <alignment vertical="center"/>
      <protection locked="0"/>
    </xf>
    <xf numFmtId="2" fontId="28" fillId="44" borderId="15" xfId="56" applyNumberFormat="1" applyFont="1" applyFill="1" applyBorder="1" applyAlignment="1" applyProtection="1">
      <alignment vertical="center"/>
      <protection locked="0"/>
    </xf>
    <xf numFmtId="2" fontId="29" fillId="11" borderId="15" xfId="56" applyNumberFormat="1" applyFont="1" applyFill="1" applyBorder="1" applyAlignment="1" applyProtection="1">
      <alignment horizontal="center" vertical="center"/>
      <protection locked="0"/>
    </xf>
    <xf numFmtId="0" fontId="2" fillId="0" borderId="13" xfId="56" applyFont="1" applyFill="1" applyBorder="1" applyAlignment="1" applyProtection="1">
      <alignment horizontal="left" vertical="center"/>
      <protection locked="0"/>
    </xf>
    <xf numFmtId="2" fontId="28" fillId="45" borderId="15" xfId="0" applyNumberFormat="1" applyFont="1" applyFill="1" applyBorder="1" applyAlignment="1" applyProtection="1">
      <alignment vertical="center"/>
      <protection locked="0"/>
    </xf>
    <xf numFmtId="2" fontId="29" fillId="4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3" xfId="56" applyFont="1" applyFill="1" applyBorder="1" applyAlignment="1" applyProtection="1">
      <alignment horizontal="left" vertical="center"/>
      <protection locked="0"/>
    </xf>
    <xf numFmtId="0" fontId="2" fillId="0" borderId="13" xfId="56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2" fontId="28" fillId="44" borderId="27" xfId="56" applyNumberFormat="1" applyFont="1" applyFill="1" applyBorder="1" applyAlignment="1" applyProtection="1">
      <alignment vertical="center"/>
      <protection locked="0"/>
    </xf>
    <xf numFmtId="2" fontId="29" fillId="11" borderId="27" xfId="56" applyNumberFormat="1" applyFont="1" applyFill="1" applyBorder="1" applyAlignment="1" applyProtection="1">
      <alignment horizontal="center" vertical="center"/>
      <protection locked="0"/>
    </xf>
    <xf numFmtId="0" fontId="2" fillId="0" borderId="13" xfId="56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98" fillId="0" borderId="0" xfId="0" applyFont="1" applyAlignment="1">
      <alignment/>
    </xf>
    <xf numFmtId="0" fontId="98" fillId="0" borderId="0" xfId="0" applyFont="1" applyAlignment="1">
      <alignment horizontal="right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1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9" xfId="0" applyBorder="1" applyAlignment="1">
      <alignment horizontal="right"/>
    </xf>
    <xf numFmtId="0" fontId="98" fillId="0" borderId="12" xfId="0" applyFont="1" applyBorder="1" applyAlignment="1">
      <alignment horizontal="right"/>
    </xf>
    <xf numFmtId="0" fontId="126" fillId="0" borderId="39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0" fillId="38" borderId="16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 horizontal="left"/>
    </xf>
    <xf numFmtId="0" fontId="98" fillId="38" borderId="39" xfId="0" applyFont="1" applyFill="1" applyBorder="1" applyAlignment="1">
      <alignment/>
    </xf>
    <xf numFmtId="0" fontId="98" fillId="38" borderId="0" xfId="0" applyFont="1" applyFill="1" applyBorder="1" applyAlignment="1">
      <alignment/>
    </xf>
    <xf numFmtId="0" fontId="98" fillId="38" borderId="39" xfId="0" applyFont="1" applyFill="1" applyBorder="1" applyAlignment="1">
      <alignment horizontal="left"/>
    </xf>
    <xf numFmtId="0" fontId="127" fillId="0" borderId="0" xfId="0" applyFont="1" applyAlignment="1">
      <alignment horizontal="left"/>
    </xf>
    <xf numFmtId="0" fontId="110" fillId="34" borderId="0" xfId="56" applyFont="1" applyFill="1" applyBorder="1" applyAlignment="1" applyProtection="1">
      <alignment horizontal="left"/>
      <protection hidden="1"/>
    </xf>
    <xf numFmtId="164" fontId="11" fillId="37" borderId="24" xfId="56" applyNumberFormat="1" applyFont="1" applyFill="1" applyBorder="1" applyAlignment="1" applyProtection="1">
      <alignment horizontal="right" vertical="center"/>
      <protection hidden="1"/>
    </xf>
    <xf numFmtId="0" fontId="2" fillId="33" borderId="0" xfId="56" applyFont="1" applyFill="1" applyBorder="1" applyAlignment="1" applyProtection="1">
      <alignment horizontal="left"/>
      <protection hidden="1"/>
    </xf>
    <xf numFmtId="0" fontId="9" fillId="37" borderId="0" xfId="56" applyFont="1" applyFill="1" applyBorder="1" applyAlignment="1" applyProtection="1">
      <alignment horizontal="left"/>
      <protection hidden="1"/>
    </xf>
    <xf numFmtId="0" fontId="2" fillId="37" borderId="0" xfId="56" applyFill="1" applyBorder="1" applyProtection="1">
      <alignment/>
      <protection hidden="1"/>
    </xf>
    <xf numFmtId="0" fontId="2" fillId="37" borderId="0" xfId="56" applyFill="1" applyProtection="1">
      <alignment/>
      <protection hidden="1"/>
    </xf>
    <xf numFmtId="0" fontId="112" fillId="37" borderId="0" xfId="56" applyFont="1" applyFill="1" applyProtection="1">
      <alignment/>
      <protection hidden="1"/>
    </xf>
    <xf numFmtId="164" fontId="8" fillId="17" borderId="0" xfId="56" applyNumberFormat="1" applyFont="1" applyFill="1" applyBorder="1" applyAlignment="1" applyProtection="1">
      <alignment horizontal="left" vertical="center"/>
      <protection hidden="1"/>
    </xf>
    <xf numFmtId="164" fontId="11" fillId="17" borderId="30" xfId="56" applyNumberFormat="1" applyFont="1" applyFill="1" applyBorder="1" applyAlignment="1" applyProtection="1">
      <alignment horizontal="right" vertical="center"/>
      <protection hidden="1"/>
    </xf>
    <xf numFmtId="1" fontId="11" fillId="17" borderId="30" xfId="56" applyNumberFormat="1" applyFont="1" applyFill="1" applyBorder="1" applyAlignment="1" applyProtection="1">
      <alignment horizontal="center" vertical="center"/>
      <protection hidden="1"/>
    </xf>
    <xf numFmtId="164" fontId="11" fillId="17" borderId="40" xfId="56" applyNumberFormat="1" applyFont="1" applyFill="1" applyBorder="1" applyAlignment="1" applyProtection="1">
      <alignment horizontal="right" vertical="top"/>
      <protection hidden="1"/>
    </xf>
    <xf numFmtId="0" fontId="2" fillId="5" borderId="0" xfId="56" applyFont="1" applyFill="1" applyBorder="1" applyProtection="1">
      <alignment/>
      <protection hidden="1"/>
    </xf>
    <xf numFmtId="164" fontId="7" fillId="5" borderId="0" xfId="56" applyNumberFormat="1" applyFont="1" applyFill="1" applyBorder="1" applyProtection="1">
      <alignment/>
      <protection hidden="1"/>
    </xf>
    <xf numFmtId="168" fontId="7" fillId="5" borderId="0" xfId="56" applyNumberFormat="1" applyFont="1" applyFill="1" applyBorder="1" applyAlignment="1" applyProtection="1">
      <alignment horizontal="center" vertical="center"/>
      <protection hidden="1"/>
    </xf>
    <xf numFmtId="164" fontId="7" fillId="17" borderId="0" xfId="56" applyNumberFormat="1" applyFont="1" applyFill="1" applyBorder="1" applyAlignment="1" applyProtection="1">
      <alignment horizontal="center" vertical="center"/>
      <protection hidden="1"/>
    </xf>
    <xf numFmtId="0" fontId="4" fillId="44" borderId="0" xfId="56" applyFont="1" applyFill="1" applyProtection="1">
      <alignment/>
      <protection hidden="1"/>
    </xf>
    <xf numFmtId="3" fontId="7" fillId="44" borderId="0" xfId="56" applyNumberFormat="1" applyFont="1" applyFill="1" applyProtection="1">
      <alignment/>
      <protection hidden="1"/>
    </xf>
    <xf numFmtId="168" fontId="7" fillId="5" borderId="0" xfId="56" applyNumberFormat="1" applyFont="1" applyFill="1" applyAlignment="1" applyProtection="1">
      <alignment horizontal="center" vertical="center"/>
      <protection hidden="1"/>
    </xf>
    <xf numFmtId="169" fontId="7" fillId="17" borderId="0" xfId="56" applyNumberFormat="1" applyFont="1" applyFill="1" applyAlignment="1" applyProtection="1">
      <alignment horizontal="right"/>
      <protection hidden="1"/>
    </xf>
    <xf numFmtId="0" fontId="2" fillId="0" borderId="41" xfId="56" applyFont="1" applyBorder="1" applyProtection="1">
      <alignment/>
      <protection hidden="1"/>
    </xf>
    <xf numFmtId="3" fontId="7" fillId="0" borderId="42" xfId="56" applyNumberFormat="1" applyFont="1" applyFill="1" applyBorder="1" applyProtection="1">
      <alignment/>
      <protection hidden="1"/>
    </xf>
    <xf numFmtId="168" fontId="7" fillId="0" borderId="42" xfId="56" applyNumberFormat="1" applyFont="1" applyBorder="1" applyAlignment="1" applyProtection="1">
      <alignment horizontal="center" vertical="center"/>
      <protection hidden="1"/>
    </xf>
    <xf numFmtId="169" fontId="7" fillId="0" borderId="43" xfId="56" applyNumberFormat="1" applyFont="1" applyBorder="1" applyAlignment="1" applyProtection="1">
      <alignment horizontal="right"/>
      <protection hidden="1"/>
    </xf>
    <xf numFmtId="0" fontId="2" fillId="0" borderId="44" xfId="56" applyFont="1" applyBorder="1" applyProtection="1">
      <alignment/>
      <protection hidden="1"/>
    </xf>
    <xf numFmtId="169" fontId="7" fillId="0" borderId="45" xfId="56" applyNumberFormat="1" applyFont="1" applyBorder="1" applyAlignment="1" applyProtection="1">
      <alignment horizontal="right"/>
      <protection hidden="1"/>
    </xf>
    <xf numFmtId="0" fontId="2" fillId="0" borderId="44" xfId="56" applyFont="1" applyFill="1" applyBorder="1" applyAlignment="1" applyProtection="1">
      <alignment horizontal="left"/>
      <protection hidden="1"/>
    </xf>
    <xf numFmtId="0" fontId="2" fillId="0" borderId="46" xfId="56" applyFont="1" applyFill="1" applyBorder="1" applyAlignment="1" applyProtection="1">
      <alignment horizontal="left"/>
      <protection hidden="1"/>
    </xf>
    <xf numFmtId="169" fontId="7" fillId="0" borderId="47" xfId="56" applyNumberFormat="1" applyFont="1" applyBorder="1" applyAlignment="1" applyProtection="1">
      <alignment horizontal="right"/>
      <protection hidden="1"/>
    </xf>
    <xf numFmtId="0" fontId="2" fillId="0" borderId="0" xfId="56" applyFont="1" applyFill="1" applyAlignment="1" applyProtection="1">
      <alignment horizontal="left"/>
      <protection hidden="1"/>
    </xf>
    <xf numFmtId="164" fontId="11" fillId="0" borderId="0" xfId="56" applyNumberFormat="1" applyFont="1" applyFill="1" applyAlignment="1" applyProtection="1">
      <alignment horizontal="right"/>
      <protection hidden="1"/>
    </xf>
    <xf numFmtId="166" fontId="11" fillId="0" borderId="0" xfId="56" applyNumberFormat="1" applyFont="1" applyFill="1" applyAlignment="1" applyProtection="1">
      <alignment horizontal="center" vertical="center"/>
      <protection hidden="1"/>
    </xf>
    <xf numFmtId="0" fontId="2" fillId="0" borderId="0" xfId="56" applyFont="1" applyFill="1" applyProtection="1">
      <alignment/>
      <protection hidden="1"/>
    </xf>
    <xf numFmtId="164" fontId="7" fillId="0" borderId="0" xfId="56" applyNumberFormat="1" applyFont="1" applyFill="1" applyProtection="1">
      <alignment/>
      <protection hidden="1"/>
    </xf>
    <xf numFmtId="0" fontId="7" fillId="0" borderId="0" xfId="56" applyFont="1" applyFill="1" applyAlignment="1" applyProtection="1">
      <alignment horizontal="center" vertical="center"/>
      <protection hidden="1"/>
    </xf>
    <xf numFmtId="49" fontId="2" fillId="37" borderId="25" xfId="56" applyNumberFormat="1" applyFont="1" applyFill="1" applyBorder="1" applyAlignment="1" applyProtection="1">
      <alignment vertical="center" wrapText="1"/>
      <protection hidden="1"/>
    </xf>
    <xf numFmtId="0" fontId="128" fillId="37" borderId="28" xfId="56" applyFont="1" applyFill="1" applyBorder="1" applyAlignment="1" applyProtection="1">
      <alignment/>
      <protection hidden="1"/>
    </xf>
    <xf numFmtId="49" fontId="2" fillId="33" borderId="17" xfId="56" applyNumberFormat="1" applyFont="1" applyFill="1" applyBorder="1" applyAlignment="1" applyProtection="1">
      <alignment horizontal="left"/>
      <protection hidden="1"/>
    </xf>
    <xf numFmtId="0" fontId="2" fillId="6" borderId="41" xfId="56" applyFont="1" applyFill="1" applyBorder="1" applyAlignment="1" applyProtection="1">
      <alignment vertical="center"/>
      <protection locked="0"/>
    </xf>
    <xf numFmtId="0" fontId="2" fillId="6" borderId="44" xfId="56" applyFont="1" applyFill="1" applyBorder="1" applyAlignment="1" applyProtection="1">
      <alignment vertical="center"/>
      <protection locked="0"/>
    </xf>
    <xf numFmtId="0" fontId="2" fillId="6" borderId="44" xfId="56" applyFont="1" applyFill="1" applyBorder="1" applyAlignment="1" applyProtection="1">
      <alignment horizontal="left" vertical="center"/>
      <protection locked="0"/>
    </xf>
    <xf numFmtId="0" fontId="2" fillId="6" borderId="46" xfId="56" applyFont="1" applyFill="1" applyBorder="1" applyAlignment="1" applyProtection="1">
      <alignment horizontal="left" vertical="center"/>
      <protection locked="0"/>
    </xf>
    <xf numFmtId="0" fontId="2" fillId="6" borderId="13" xfId="56" applyFont="1" applyFill="1" applyBorder="1" applyAlignment="1" applyProtection="1">
      <alignment horizontal="left" vertical="center"/>
      <protection locked="0"/>
    </xf>
    <xf numFmtId="0" fontId="2" fillId="6" borderId="13" xfId="56" applyFont="1" applyFill="1" applyBorder="1" applyAlignment="1" applyProtection="1">
      <alignment horizontal="left" vertical="center"/>
      <protection locked="0"/>
    </xf>
    <xf numFmtId="0" fontId="2" fillId="6" borderId="13" xfId="56" applyFont="1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116" fillId="37" borderId="0" xfId="0" applyFont="1" applyFill="1" applyAlignment="1" applyProtection="1">
      <alignment horizontal="center" vertical="center"/>
      <protection hidden="1"/>
    </xf>
    <xf numFmtId="0" fontId="122" fillId="37" borderId="10" xfId="0" applyFont="1" applyFill="1" applyBorder="1" applyAlignment="1" applyProtection="1">
      <alignment vertical="center"/>
      <protection hidden="1"/>
    </xf>
    <xf numFmtId="2" fontId="125" fillId="37" borderId="11" xfId="0" applyNumberFormat="1" applyFont="1" applyFill="1" applyBorder="1" applyAlignment="1" applyProtection="1">
      <alignment horizontal="center" vertical="center"/>
      <protection hidden="1"/>
    </xf>
    <xf numFmtId="0" fontId="125" fillId="37" borderId="12" xfId="0" applyFont="1" applyFill="1" applyBorder="1" applyAlignment="1" applyProtection="1">
      <alignment horizontal="center" vertical="center"/>
      <protection hidden="1"/>
    </xf>
    <xf numFmtId="0" fontId="123" fillId="37" borderId="0" xfId="0" applyFont="1" applyFill="1" applyAlignment="1" applyProtection="1">
      <alignment vertical="center"/>
      <protection hidden="1"/>
    </xf>
    <xf numFmtId="0" fontId="123" fillId="37" borderId="0" xfId="0" applyFont="1" applyFill="1" applyAlignment="1" applyProtection="1">
      <alignment horizontal="center" vertical="center"/>
      <protection hidden="1"/>
    </xf>
    <xf numFmtId="0" fontId="122" fillId="37" borderId="0" xfId="0" applyFont="1" applyFill="1" applyBorder="1" applyAlignment="1" applyProtection="1">
      <alignment horizontal="center" vertical="center"/>
      <protection hidden="1"/>
    </xf>
    <xf numFmtId="0" fontId="122" fillId="37" borderId="0" xfId="0" applyFont="1" applyFill="1" applyAlignment="1" applyProtection="1">
      <alignment vertical="center"/>
      <protection hidden="1"/>
    </xf>
    <xf numFmtId="0" fontId="125" fillId="37" borderId="13" xfId="56" applyFont="1" applyFill="1" applyBorder="1" applyAlignment="1" applyProtection="1">
      <alignment horizontal="center" vertical="center"/>
      <protection hidden="1"/>
    </xf>
    <xf numFmtId="2" fontId="125" fillId="37" borderId="15" xfId="0" applyNumberFormat="1" applyFont="1" applyFill="1" applyBorder="1" applyAlignment="1" applyProtection="1">
      <alignment horizontal="center" vertical="center"/>
      <protection hidden="1"/>
    </xf>
    <xf numFmtId="0" fontId="125" fillId="37" borderId="14" xfId="0" applyFont="1" applyFill="1" applyBorder="1" applyAlignment="1" applyProtection="1">
      <alignment horizontal="center" vertical="center"/>
      <protection hidden="1"/>
    </xf>
    <xf numFmtId="0" fontId="124" fillId="37" borderId="0" xfId="56" applyFont="1" applyFill="1" applyBorder="1" applyAlignment="1" applyProtection="1">
      <alignment vertical="center"/>
      <protection hidden="1"/>
    </xf>
    <xf numFmtId="2" fontId="124" fillId="37" borderId="0" xfId="56" applyNumberFormat="1" applyFont="1" applyFill="1" applyBorder="1" applyAlignment="1" applyProtection="1">
      <alignment vertical="center"/>
      <protection hidden="1"/>
    </xf>
    <xf numFmtId="2" fontId="121" fillId="37" borderId="0" xfId="0" applyNumberFormat="1" applyFont="1" applyFill="1" applyAlignment="1" applyProtection="1">
      <alignment vertical="center"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vertical="center"/>
      <protection hidden="1"/>
    </xf>
    <xf numFmtId="164" fontId="30" fillId="37" borderId="13" xfId="56" applyNumberFormat="1" applyFont="1" applyFill="1" applyBorder="1" applyAlignment="1" applyProtection="1">
      <alignment horizontal="center"/>
      <protection hidden="1"/>
    </xf>
    <xf numFmtId="2" fontId="36" fillId="37" borderId="15" xfId="56" applyNumberFormat="1" applyFont="1" applyFill="1" applyBorder="1" applyAlignment="1" applyProtection="1">
      <alignment horizontal="center" vertical="center" wrapText="1"/>
      <protection hidden="1"/>
    </xf>
    <xf numFmtId="2" fontId="37" fillId="37" borderId="15" xfId="56" applyNumberFormat="1" applyFont="1" applyFill="1" applyBorder="1" applyAlignment="1" applyProtection="1">
      <alignment horizontal="center" vertical="center" wrapText="1"/>
      <protection hidden="1"/>
    </xf>
    <xf numFmtId="164" fontId="2" fillId="37" borderId="14" xfId="56" applyNumberFormat="1" applyFont="1" applyFill="1" applyBorder="1" applyAlignment="1" applyProtection="1">
      <alignment horizontal="center" vertical="center" wrapText="1"/>
      <protection hidden="1"/>
    </xf>
    <xf numFmtId="0" fontId="121" fillId="37" borderId="0" xfId="0" applyFont="1" applyFill="1" applyAlignment="1" applyProtection="1">
      <alignment vertical="center"/>
      <protection hidden="1"/>
    </xf>
    <xf numFmtId="169" fontId="2" fillId="37" borderId="14" xfId="56" applyNumberFormat="1" applyFont="1" applyFill="1" applyBorder="1" applyAlignment="1" applyProtection="1">
      <alignment horizontal="right" vertical="center"/>
      <protection hidden="1"/>
    </xf>
    <xf numFmtId="169" fontId="2" fillId="37" borderId="33" xfId="56" applyNumberFormat="1" applyFont="1" applyFill="1" applyBorder="1" applyAlignment="1" applyProtection="1">
      <alignment horizontal="right" vertical="center"/>
      <protection hidden="1"/>
    </xf>
    <xf numFmtId="2" fontId="120" fillId="37" borderId="0" xfId="0" applyNumberFormat="1" applyFont="1" applyFill="1" applyAlignment="1" applyProtection="1">
      <alignment vertical="center"/>
      <protection hidden="1"/>
    </xf>
    <xf numFmtId="169" fontId="2" fillId="37" borderId="0" xfId="56" applyNumberFormat="1" applyFont="1" applyFill="1" applyBorder="1" applyAlignment="1" applyProtection="1">
      <alignment horizontal="right" vertical="center"/>
      <protection hidden="1"/>
    </xf>
    <xf numFmtId="0" fontId="121" fillId="37" borderId="0" xfId="0" applyFont="1" applyFill="1" applyBorder="1" applyAlignment="1" applyProtection="1">
      <alignment vertical="center"/>
      <protection hidden="1"/>
    </xf>
    <xf numFmtId="0" fontId="120" fillId="37" borderId="0" xfId="0" applyFont="1" applyFill="1" applyAlignment="1" applyProtection="1">
      <alignment vertical="center"/>
      <protection hidden="1"/>
    </xf>
    <xf numFmtId="2" fontId="38" fillId="12" borderId="42" xfId="56" applyNumberFormat="1" applyFont="1" applyFill="1" applyBorder="1" applyAlignment="1" applyProtection="1">
      <alignment vertical="center"/>
      <protection locked="0"/>
    </xf>
    <xf numFmtId="2" fontId="39" fillId="18" borderId="42" xfId="56" applyNumberFormat="1" applyFont="1" applyFill="1" applyBorder="1" applyAlignment="1" applyProtection="1">
      <alignment horizontal="center" vertical="center"/>
      <protection locked="0"/>
    </xf>
    <xf numFmtId="2" fontId="38" fillId="47" borderId="42" xfId="0" applyNumberFormat="1" applyFont="1" applyFill="1" applyBorder="1" applyAlignment="1" applyProtection="1">
      <alignment vertical="center"/>
      <protection locked="0"/>
    </xf>
    <xf numFmtId="2" fontId="39" fillId="48" borderId="48" xfId="0" applyNumberFormat="1" applyFont="1" applyFill="1" applyBorder="1" applyAlignment="1" applyProtection="1">
      <alignment horizontal="center" vertical="center"/>
      <protection locked="0"/>
    </xf>
    <xf numFmtId="2" fontId="38" fillId="47" borderId="49" xfId="0" applyNumberFormat="1" applyFont="1" applyFill="1" applyBorder="1" applyAlignment="1" applyProtection="1">
      <alignment vertical="center"/>
      <protection locked="0"/>
    </xf>
    <xf numFmtId="2" fontId="39" fillId="48" borderId="50" xfId="0" applyNumberFormat="1" applyFont="1" applyFill="1" applyBorder="1" applyAlignment="1" applyProtection="1">
      <alignment horizontal="center" vertical="center"/>
      <protection locked="0"/>
    </xf>
    <xf numFmtId="2" fontId="38" fillId="47" borderId="15" xfId="0" applyNumberFormat="1" applyFont="1" applyFill="1" applyBorder="1" applyAlignment="1" applyProtection="1">
      <alignment vertical="center"/>
      <protection locked="0"/>
    </xf>
    <xf numFmtId="2" fontId="39" fillId="18" borderId="15" xfId="56" applyNumberFormat="1" applyFont="1" applyFill="1" applyBorder="1" applyAlignment="1" applyProtection="1">
      <alignment horizontal="center" vertical="center"/>
      <protection locked="0"/>
    </xf>
    <xf numFmtId="2" fontId="38" fillId="12" borderId="15" xfId="56" applyNumberFormat="1" applyFont="1" applyFill="1" applyBorder="1" applyAlignment="1" applyProtection="1">
      <alignment vertical="center"/>
      <protection locked="0"/>
    </xf>
    <xf numFmtId="2" fontId="39" fillId="48" borderId="15" xfId="0" applyNumberFormat="1" applyFont="1" applyFill="1" applyBorder="1" applyAlignment="1" applyProtection="1">
      <alignment horizontal="center" vertical="center"/>
      <protection locked="0"/>
    </xf>
    <xf numFmtId="2" fontId="38" fillId="12" borderId="27" xfId="56" applyNumberFormat="1" applyFont="1" applyFill="1" applyBorder="1" applyAlignment="1" applyProtection="1">
      <alignment vertical="center"/>
      <protection locked="0"/>
    </xf>
    <xf numFmtId="2" fontId="39" fillId="18" borderId="27" xfId="56" applyNumberFormat="1" applyFont="1" applyFill="1" applyBorder="1" applyAlignment="1" applyProtection="1">
      <alignment horizontal="center" vertical="center"/>
      <protection locked="0"/>
    </xf>
    <xf numFmtId="1" fontId="124" fillId="0" borderId="0" xfId="56" applyNumberFormat="1" applyFont="1" applyFill="1" applyBorder="1" applyAlignment="1" applyProtection="1">
      <alignment vertical="center"/>
      <protection hidden="1"/>
    </xf>
    <xf numFmtId="1" fontId="121" fillId="0" borderId="0" xfId="0" applyNumberFormat="1" applyFont="1" applyAlignment="1" applyProtection="1">
      <alignment vertical="center"/>
      <protection hidden="1"/>
    </xf>
    <xf numFmtId="164" fontId="11" fillId="33" borderId="40" xfId="56" applyNumberFormat="1" applyFont="1" applyFill="1" applyBorder="1" applyAlignment="1" applyProtection="1">
      <alignment horizontal="right" vertical="top"/>
      <protection hidden="1"/>
    </xf>
    <xf numFmtId="0" fontId="9" fillId="33" borderId="51" xfId="56" applyFont="1" applyFill="1" applyBorder="1" applyAlignment="1" applyProtection="1">
      <alignment horizontal="left"/>
      <protection hidden="1"/>
    </xf>
    <xf numFmtId="164" fontId="11" fillId="33" borderId="52" xfId="56" applyNumberFormat="1" applyFont="1" applyFill="1" applyBorder="1" applyAlignment="1" applyProtection="1">
      <alignment horizontal="right" vertical="top"/>
      <protection hidden="1"/>
    </xf>
    <xf numFmtId="0" fontId="107" fillId="37" borderId="0" xfId="56" applyFont="1" applyFill="1" applyProtection="1">
      <alignment/>
      <protection hidden="1"/>
    </xf>
    <xf numFmtId="0" fontId="2" fillId="33" borderId="17" xfId="56" applyFont="1" applyFill="1" applyBorder="1" applyAlignment="1" applyProtection="1">
      <alignment horizontal="left" vertical="center"/>
      <protection hidden="1"/>
    </xf>
    <xf numFmtId="0" fontId="129" fillId="0" borderId="0" xfId="56" applyFont="1" applyAlignment="1" applyProtection="1">
      <alignment horizontal="right"/>
      <protection hidden="1"/>
    </xf>
    <xf numFmtId="164" fontId="130" fillId="0" borderId="0" xfId="56" applyNumberFormat="1" applyFont="1" applyProtection="1">
      <alignment/>
      <protection hidden="1"/>
    </xf>
    <xf numFmtId="0" fontId="129" fillId="33" borderId="0" xfId="56" applyFont="1" applyFill="1" applyBorder="1" applyAlignment="1" applyProtection="1">
      <alignment horizontal="right" vertical="top" wrapText="1"/>
      <protection hidden="1"/>
    </xf>
    <xf numFmtId="0" fontId="130" fillId="0" borderId="0" xfId="56" applyFont="1" applyBorder="1" applyAlignment="1" applyProtection="1">
      <alignment/>
      <protection hidden="1"/>
    </xf>
    <xf numFmtId="0" fontId="131" fillId="0" borderId="0" xfId="56" applyFont="1" applyBorder="1" applyProtection="1">
      <alignment/>
      <protection hidden="1"/>
    </xf>
    <xf numFmtId="164" fontId="130" fillId="0" borderId="0" xfId="56" applyNumberFormat="1" applyFont="1" applyBorder="1" applyProtection="1">
      <alignment/>
      <protection hidden="1"/>
    </xf>
    <xf numFmtId="164" fontId="10" fillId="33" borderId="0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6" applyFont="1" applyBorder="1" applyAlignment="1" applyProtection="1">
      <alignment horizontal="left"/>
      <protection hidden="1"/>
    </xf>
    <xf numFmtId="0" fontId="2" fillId="0" borderId="0" xfId="56" applyFont="1" applyFill="1" applyAlignment="1" applyProtection="1">
      <alignment horizontal="left" vertical="center"/>
      <protection hidden="1"/>
    </xf>
    <xf numFmtId="0" fontId="110" fillId="34" borderId="0" xfId="56" applyFont="1" applyFill="1" applyBorder="1" applyAlignment="1" applyProtection="1">
      <alignment horizontal="left"/>
      <protection hidden="1"/>
    </xf>
    <xf numFmtId="0" fontId="101" fillId="39" borderId="0" xfId="0" applyFont="1" applyFill="1" applyBorder="1" applyAlignment="1" applyProtection="1">
      <alignment horizontal="center" vertical="center" textRotation="90"/>
      <protection hidden="1"/>
    </xf>
    <xf numFmtId="0" fontId="101" fillId="38" borderId="0" xfId="0" applyFont="1" applyFill="1" applyBorder="1" applyAlignment="1" applyProtection="1">
      <alignment horizontal="center" vertical="center" textRotation="90"/>
      <protection hidden="1"/>
    </xf>
    <xf numFmtId="0" fontId="132" fillId="36" borderId="0" xfId="0" applyFont="1" applyFill="1" applyBorder="1" applyAlignment="1" applyProtection="1">
      <alignment horizontal="center" vertical="center" textRotation="90"/>
      <protection hidden="1"/>
    </xf>
    <xf numFmtId="0" fontId="101" fillId="35" borderId="0" xfId="0" applyFont="1" applyFill="1" applyBorder="1" applyAlignment="1" applyProtection="1">
      <alignment horizontal="center" vertical="center" textRotation="90" wrapText="1"/>
      <protection hidden="1"/>
    </xf>
    <xf numFmtId="0" fontId="101" fillId="7" borderId="0" xfId="0" applyFont="1" applyFill="1" applyBorder="1" applyAlignment="1" applyProtection="1">
      <alignment horizontal="center" vertical="center" textRotation="90"/>
      <protection hidden="1"/>
    </xf>
    <xf numFmtId="2" fontId="2" fillId="0" borderId="14" xfId="56" applyNumberFormat="1" applyBorder="1" applyAlignment="1" applyProtection="1">
      <alignment horizontal="center" vertical="center"/>
      <protection hidden="1"/>
    </xf>
    <xf numFmtId="2" fontId="2" fillId="0" borderId="13" xfId="56" applyNumberFormat="1" applyBorder="1" applyAlignment="1" applyProtection="1">
      <alignment horizontal="center" vertical="center"/>
      <protection hidden="1"/>
    </xf>
    <xf numFmtId="0" fontId="19" fillId="0" borderId="12" xfId="56" applyFont="1" applyBorder="1" applyAlignment="1" applyProtection="1">
      <alignment horizontal="center" vertical="center"/>
      <protection hidden="1"/>
    </xf>
    <xf numFmtId="0" fontId="19" fillId="0" borderId="10" xfId="56" applyFont="1" applyBorder="1" applyAlignment="1" applyProtection="1">
      <alignment horizontal="center" vertical="center"/>
      <protection hidden="1"/>
    </xf>
    <xf numFmtId="0" fontId="2" fillId="0" borderId="12" xfId="56" applyFont="1" applyBorder="1" applyAlignment="1" applyProtection="1">
      <alignment horizontal="center" vertical="center" wrapText="1"/>
      <protection hidden="1"/>
    </xf>
    <xf numFmtId="0" fontId="2" fillId="0" borderId="10" xfId="56" applyFont="1" applyBorder="1" applyAlignment="1" applyProtection="1">
      <alignment horizontal="center" vertical="center" wrapText="1"/>
      <protection hidden="1"/>
    </xf>
    <xf numFmtId="0" fontId="2" fillId="0" borderId="14" xfId="56" applyBorder="1" applyAlignment="1" applyProtection="1">
      <alignment horizontal="center" vertical="center"/>
      <protection hidden="1"/>
    </xf>
    <xf numFmtId="0" fontId="2" fillId="0" borderId="13" xfId="56" applyBorder="1" applyAlignment="1" applyProtection="1">
      <alignment horizontal="center" vertical="center"/>
      <protection hidden="1"/>
    </xf>
    <xf numFmtId="0" fontId="2" fillId="0" borderId="16" xfId="56" applyBorder="1" applyAlignment="1" applyProtection="1">
      <alignment horizontal="center" vertical="center"/>
      <protection hidden="1"/>
    </xf>
    <xf numFmtId="0" fontId="19" fillId="0" borderId="13" xfId="56" applyFont="1" applyFill="1" applyBorder="1" applyAlignment="1" applyProtection="1">
      <alignment horizontal="center" vertical="center" wrapText="1"/>
      <protection hidden="1"/>
    </xf>
    <xf numFmtId="0" fontId="19" fillId="0" borderId="15" xfId="56" applyFont="1" applyFill="1" applyBorder="1" applyAlignment="1" applyProtection="1">
      <alignment horizontal="center" vertical="center" wrapText="1"/>
      <protection hidden="1"/>
    </xf>
    <xf numFmtId="0" fontId="2" fillId="41" borderId="0" xfId="56" applyFill="1" applyBorder="1" applyAlignment="1" applyProtection="1">
      <alignment horizontal="center" vertical="center"/>
      <protection hidden="1"/>
    </xf>
    <xf numFmtId="0" fontId="2" fillId="0" borderId="10" xfId="56" applyFont="1" applyBorder="1" applyAlignment="1" applyProtection="1">
      <alignment horizontal="center" vertical="center" wrapText="1"/>
      <protection hidden="1"/>
    </xf>
    <xf numFmtId="0" fontId="2" fillId="0" borderId="10" xfId="56" applyBorder="1" applyAlignment="1" applyProtection="1">
      <alignment horizontal="center" vertical="center"/>
      <protection hidden="1"/>
    </xf>
    <xf numFmtId="0" fontId="2" fillId="0" borderId="11" xfId="56" applyBorder="1" applyAlignment="1" applyProtection="1">
      <alignment horizontal="center" vertical="center"/>
      <protection hidden="1"/>
    </xf>
    <xf numFmtId="0" fontId="2" fillId="0" borderId="12" xfId="56" applyBorder="1" applyAlignment="1" applyProtection="1">
      <alignment horizontal="center" vertical="center"/>
      <protection hidden="1"/>
    </xf>
    <xf numFmtId="0" fontId="19" fillId="0" borderId="14" xfId="56" applyFont="1" applyFill="1" applyBorder="1" applyAlignment="1" applyProtection="1">
      <alignment horizontal="center" vertical="center" wrapText="1"/>
      <protection hidden="1"/>
    </xf>
    <xf numFmtId="0" fontId="2" fillId="42" borderId="0" xfId="56" applyFill="1" applyAlignment="1" applyProtection="1">
      <alignment horizontal="center" vertical="center"/>
      <protection hidden="1"/>
    </xf>
    <xf numFmtId="0" fontId="107" fillId="43" borderId="0" xfId="56" applyFont="1" applyFill="1" applyAlignment="1" applyProtection="1">
      <alignment horizontal="center" vertical="center"/>
      <protection hidden="1"/>
    </xf>
    <xf numFmtId="0" fontId="19" fillId="0" borderId="12" xfId="56" applyFont="1" applyBorder="1" applyAlignment="1" applyProtection="1">
      <alignment horizontal="center" vertical="center" wrapText="1"/>
      <protection hidden="1"/>
    </xf>
    <xf numFmtId="0" fontId="19" fillId="0" borderId="10" xfId="56" applyFont="1" applyBorder="1" applyAlignment="1" applyProtection="1">
      <alignment horizontal="center" vertical="center" wrapText="1"/>
      <protection hidden="1"/>
    </xf>
    <xf numFmtId="2" fontId="2" fillId="0" borderId="14" xfId="56" applyNumberFormat="1" applyBorder="1" applyAlignment="1" applyProtection="1">
      <alignment horizontal="center" vertical="center" wrapText="1"/>
      <protection hidden="1"/>
    </xf>
    <xf numFmtId="2" fontId="2" fillId="0" borderId="13" xfId="56" applyNumberFormat="1" applyBorder="1" applyAlignment="1" applyProtection="1">
      <alignment horizontal="center" vertical="center" wrapText="1"/>
      <protection hidden="1"/>
    </xf>
    <xf numFmtId="0" fontId="2" fillId="0" borderId="12" xfId="56" applyFont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 horizontal="center" vertical="center" textRotation="90"/>
      <protection hidden="1"/>
    </xf>
    <xf numFmtId="0" fontId="4" fillId="0" borderId="35" xfId="56" applyFont="1" applyBorder="1" applyAlignment="1" applyProtection="1">
      <alignment horizontal="center" vertical="center" textRotation="90"/>
      <protection hidden="1"/>
    </xf>
    <xf numFmtId="0" fontId="4" fillId="0" borderId="14" xfId="56" applyFont="1" applyFill="1" applyBorder="1" applyAlignment="1" applyProtection="1">
      <alignment horizontal="center" vertical="center" wrapText="1"/>
      <protection hidden="1"/>
    </xf>
    <xf numFmtId="49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56" applyFont="1" applyBorder="1" applyAlignment="1" applyProtection="1">
      <alignment horizontal="center" vertical="center" wrapText="1"/>
      <protection hidden="1"/>
    </xf>
    <xf numFmtId="0" fontId="2" fillId="0" borderId="35" xfId="56" applyFont="1" applyBorder="1" applyAlignment="1" applyProtection="1">
      <alignment horizontal="center" vertical="center"/>
      <protection hidden="1"/>
    </xf>
    <xf numFmtId="0" fontId="2" fillId="0" borderId="10" xfId="56" applyFont="1" applyBorder="1" applyAlignment="1" applyProtection="1">
      <alignment horizontal="center" vertical="center"/>
      <protection hidden="1"/>
    </xf>
    <xf numFmtId="0" fontId="3" fillId="0" borderId="16" xfId="56" applyFont="1" applyFill="1" applyBorder="1" applyAlignment="1" applyProtection="1">
      <alignment horizontal="center" vertical="center"/>
      <protection hidden="1"/>
    </xf>
    <xf numFmtId="49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23" fillId="0" borderId="14" xfId="56" applyFont="1" applyFill="1" applyBorder="1" applyAlignment="1" applyProtection="1">
      <alignment horizontal="center" vertical="center" wrapText="1"/>
      <protection hidden="1"/>
    </xf>
    <xf numFmtId="49" fontId="24" fillId="0" borderId="13" xfId="56" applyNumberFormat="1" applyFont="1" applyFill="1" applyBorder="1" applyAlignment="1" applyProtection="1">
      <alignment horizontal="center" vertical="center" wrapText="1"/>
      <protection hidden="1"/>
    </xf>
    <xf numFmtId="49" fontId="24" fillId="0" borderId="34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6" applyFont="1" applyFill="1" applyBorder="1" applyAlignment="1" applyProtection="1">
      <alignment horizontal="center" vertical="center"/>
      <protection hidden="1"/>
    </xf>
    <xf numFmtId="0" fontId="23" fillId="0" borderId="33" xfId="56" applyFont="1" applyFill="1" applyBorder="1" applyAlignment="1" applyProtection="1">
      <alignment horizontal="center" vertical="center" wrapText="1"/>
      <protection hidden="1"/>
    </xf>
    <xf numFmtId="49" fontId="3" fillId="0" borderId="34" xfId="56" applyNumberFormat="1" applyFont="1" applyFill="1" applyBorder="1" applyAlignment="1" applyProtection="1">
      <alignment horizontal="center" vertical="center" wrapText="1"/>
      <protection hidden="1"/>
    </xf>
    <xf numFmtId="49" fontId="3" fillId="0" borderId="38" xfId="56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Alignment="1">
      <alignment horizontal="center" vertical="center" textRotation="120"/>
    </xf>
    <xf numFmtId="0" fontId="98" fillId="0" borderId="0" xfId="0" applyFont="1" applyAlignment="1">
      <alignment horizontal="center" vertical="center" textRotation="52"/>
    </xf>
    <xf numFmtId="0" fontId="98" fillId="0" borderId="0" xfId="0" applyFont="1" applyAlignment="1">
      <alignment horizontal="center" vertical="center" textRotation="146"/>
    </xf>
    <xf numFmtId="0" fontId="11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4276725</xdr:colOff>
      <xdr:row>79</xdr:row>
      <xdr:rowOff>76200</xdr:rowOff>
    </xdr:from>
    <xdr:to>
      <xdr:col>4</xdr:col>
      <xdr:colOff>161925</xdr:colOff>
      <xdr:row>81</xdr:row>
      <xdr:rowOff>76200</xdr:rowOff>
    </xdr:to>
    <xdr:sp>
      <xdr:nvSpPr>
        <xdr:cNvPr id="1" name="Line Callout 2 3"/>
        <xdr:cNvSpPr>
          <a:spLocks/>
        </xdr:cNvSpPr>
      </xdr:nvSpPr>
      <xdr:spPr>
        <a:xfrm>
          <a:off x="4476750" y="13077825"/>
          <a:ext cx="1571625" cy="323850"/>
        </a:xfrm>
        <a:prstGeom prst="borderCallout2">
          <a:avLst>
            <a:gd name="adj1" fmla="val 39523"/>
            <a:gd name="adj2" fmla="val -250722"/>
            <a:gd name="adj3" fmla="val -83629"/>
            <a:gd name="adj4" fmla="val -118750"/>
            <a:gd name="adj5" fmla="val -54699"/>
            <a:gd name="adj6" fmla="val -1586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Merged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cells to be filled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9</xdr:row>
      <xdr:rowOff>85725</xdr:rowOff>
    </xdr:from>
    <xdr:to>
      <xdr:col>16</xdr:col>
      <xdr:colOff>190500</xdr:colOff>
      <xdr:row>25</xdr:row>
      <xdr:rowOff>28575</xdr:rowOff>
    </xdr:to>
    <xdr:sp>
      <xdr:nvSpPr>
        <xdr:cNvPr id="1" name="Triangle rectangle 1"/>
        <xdr:cNvSpPr>
          <a:spLocks/>
        </xdr:cNvSpPr>
      </xdr:nvSpPr>
      <xdr:spPr>
        <a:xfrm>
          <a:off x="8286750" y="1800225"/>
          <a:ext cx="4067175" cy="2990850"/>
        </a:xfrm>
        <a:prstGeom prst="rtTriangle">
          <a:avLst/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>
              <a:alpha val="1294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31</xdr:row>
      <xdr:rowOff>66675</xdr:rowOff>
    </xdr:from>
    <xdr:to>
      <xdr:col>10</xdr:col>
      <xdr:colOff>476250</xdr:colOff>
      <xdr:row>60</xdr:row>
      <xdr:rowOff>133350</xdr:rowOff>
    </xdr:to>
    <xdr:pic>
      <xdr:nvPicPr>
        <xdr:cNvPr id="2" name="Picture 2" descr="untitledtlai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95975"/>
          <a:ext cx="684847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41</xdr:row>
      <xdr:rowOff>38100</xdr:rowOff>
    </xdr:from>
    <xdr:to>
      <xdr:col>8</xdr:col>
      <xdr:colOff>0</xdr:colOff>
      <xdr:row>48</xdr:row>
      <xdr:rowOff>9525</xdr:rowOff>
    </xdr:to>
    <xdr:sp>
      <xdr:nvSpPr>
        <xdr:cNvPr id="3" name="Straight Connector 4"/>
        <xdr:cNvSpPr>
          <a:spLocks/>
        </xdr:cNvSpPr>
      </xdr:nvSpPr>
      <xdr:spPr>
        <a:xfrm rot="5400000">
          <a:off x="4010025" y="7772400"/>
          <a:ext cx="638175" cy="1304925"/>
        </a:xfrm>
        <a:prstGeom prst="line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66675</xdr:rowOff>
    </xdr:from>
    <xdr:to>
      <xdr:col>8</xdr:col>
      <xdr:colOff>447675</xdr:colOff>
      <xdr:row>48</xdr:row>
      <xdr:rowOff>9525</xdr:rowOff>
    </xdr:to>
    <xdr:sp>
      <xdr:nvSpPr>
        <xdr:cNvPr id="4" name="Straight Connector 6"/>
        <xdr:cNvSpPr>
          <a:spLocks/>
        </xdr:cNvSpPr>
      </xdr:nvSpPr>
      <xdr:spPr>
        <a:xfrm rot="16200000" flipH="1">
          <a:off x="4648200" y="7800975"/>
          <a:ext cx="447675" cy="1276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695325</xdr:colOff>
      <xdr:row>44</xdr:row>
      <xdr:rowOff>123825</xdr:rowOff>
    </xdr:from>
    <xdr:to>
      <xdr:col>8</xdr:col>
      <xdr:colOff>219075</xdr:colOff>
      <xdr:row>45</xdr:row>
      <xdr:rowOff>123825</xdr:rowOff>
    </xdr:to>
    <xdr:sp>
      <xdr:nvSpPr>
        <xdr:cNvPr id="5" name="Curved Up Arrow 7"/>
        <xdr:cNvSpPr>
          <a:spLocks/>
        </xdr:cNvSpPr>
      </xdr:nvSpPr>
      <xdr:spPr>
        <a:xfrm>
          <a:off x="4333875" y="8429625"/>
          <a:ext cx="533400" cy="190500"/>
        </a:xfrm>
        <a:prstGeom prst="curvedUpArrow">
          <a:avLst>
            <a:gd name="adj1" fmla="val 30319"/>
            <a:gd name="adj2" fmla="val 43495"/>
            <a:gd name="adj3" fmla="val -17708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9</xdr:row>
      <xdr:rowOff>85725</xdr:rowOff>
    </xdr:from>
    <xdr:to>
      <xdr:col>16</xdr:col>
      <xdr:colOff>190500</xdr:colOff>
      <xdr:row>25</xdr:row>
      <xdr:rowOff>28575</xdr:rowOff>
    </xdr:to>
    <xdr:sp>
      <xdr:nvSpPr>
        <xdr:cNvPr id="1" name="Triangle rectangle 1"/>
        <xdr:cNvSpPr>
          <a:spLocks/>
        </xdr:cNvSpPr>
      </xdr:nvSpPr>
      <xdr:spPr>
        <a:xfrm>
          <a:off x="8286750" y="1800225"/>
          <a:ext cx="4067175" cy="2990850"/>
        </a:xfrm>
        <a:prstGeom prst="rtTriangle">
          <a:avLst/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>
              <a:alpha val="1294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31</xdr:row>
      <xdr:rowOff>66675</xdr:rowOff>
    </xdr:from>
    <xdr:to>
      <xdr:col>10</xdr:col>
      <xdr:colOff>476250</xdr:colOff>
      <xdr:row>60</xdr:row>
      <xdr:rowOff>133350</xdr:rowOff>
    </xdr:to>
    <xdr:pic>
      <xdr:nvPicPr>
        <xdr:cNvPr id="2" name="Picture 2" descr="untitledtlai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95975"/>
          <a:ext cx="684847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41</xdr:row>
      <xdr:rowOff>28575</xdr:rowOff>
    </xdr:from>
    <xdr:to>
      <xdr:col>8</xdr:col>
      <xdr:colOff>28575</xdr:colOff>
      <xdr:row>48</xdr:row>
      <xdr:rowOff>9525</xdr:rowOff>
    </xdr:to>
    <xdr:sp>
      <xdr:nvSpPr>
        <xdr:cNvPr id="3" name="Straight Connector 3"/>
        <xdr:cNvSpPr>
          <a:spLocks/>
        </xdr:cNvSpPr>
      </xdr:nvSpPr>
      <xdr:spPr>
        <a:xfrm rot="5400000">
          <a:off x="4048125" y="7762875"/>
          <a:ext cx="628650" cy="1314450"/>
        </a:xfrm>
        <a:prstGeom prst="line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57150</xdr:rowOff>
    </xdr:from>
    <xdr:to>
      <xdr:col>8</xdr:col>
      <xdr:colOff>609600</xdr:colOff>
      <xdr:row>48</xdr:row>
      <xdr:rowOff>95250</xdr:rowOff>
    </xdr:to>
    <xdr:sp>
      <xdr:nvSpPr>
        <xdr:cNvPr id="4" name="Straight Connector 4"/>
        <xdr:cNvSpPr>
          <a:spLocks/>
        </xdr:cNvSpPr>
      </xdr:nvSpPr>
      <xdr:spPr>
        <a:xfrm rot="16200000" flipH="1">
          <a:off x="4676775" y="7791450"/>
          <a:ext cx="581025" cy="13716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695325</xdr:colOff>
      <xdr:row>44</xdr:row>
      <xdr:rowOff>123825</xdr:rowOff>
    </xdr:from>
    <xdr:to>
      <xdr:col>8</xdr:col>
      <xdr:colOff>219075</xdr:colOff>
      <xdr:row>45</xdr:row>
      <xdr:rowOff>123825</xdr:rowOff>
    </xdr:to>
    <xdr:sp>
      <xdr:nvSpPr>
        <xdr:cNvPr id="5" name="Curved Up Arrow 5"/>
        <xdr:cNvSpPr>
          <a:spLocks/>
        </xdr:cNvSpPr>
      </xdr:nvSpPr>
      <xdr:spPr>
        <a:xfrm>
          <a:off x="4333875" y="8429625"/>
          <a:ext cx="533400" cy="190500"/>
        </a:xfrm>
        <a:prstGeom prst="curvedUpArrow">
          <a:avLst>
            <a:gd name="adj1" fmla="val 22245"/>
            <a:gd name="adj2" fmla="val 40828"/>
            <a:gd name="adj3" fmla="val -17708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10</xdr:col>
      <xdr:colOff>552450</xdr:colOff>
      <xdr:row>72</xdr:row>
      <xdr:rowOff>66675</xdr:rowOff>
    </xdr:to>
    <xdr:pic>
      <xdr:nvPicPr>
        <xdr:cNvPr id="1" name="Picture 1" descr="12007_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6457950" cy="1296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23</xdr:col>
      <xdr:colOff>457200</xdr:colOff>
      <xdr:row>72</xdr:row>
      <xdr:rowOff>57150</xdr:rowOff>
    </xdr:to>
    <xdr:pic>
      <xdr:nvPicPr>
        <xdr:cNvPr id="2" name="Picture 2" descr="gilet_gonflable_uship_iso_180n_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381125"/>
          <a:ext cx="7543800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="115" zoomScaleNormal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8" sqref="F8"/>
    </sheetView>
  </sheetViews>
  <sheetFormatPr defaultColWidth="9.140625" defaultRowHeight="15"/>
  <cols>
    <col min="1" max="1" width="1.7109375" style="1" customWidth="1"/>
    <col min="2" max="2" width="1.28515625" style="1" customWidth="1"/>
    <col min="3" max="3" width="2.00390625" style="1" hidden="1" customWidth="1"/>
    <col min="4" max="4" width="85.28125" style="1" bestFit="1" customWidth="1"/>
    <col min="5" max="5" width="9.00390625" style="134" bestFit="1" customWidth="1"/>
    <col min="6" max="6" width="4.421875" style="135" customWidth="1"/>
    <col min="7" max="7" width="10.421875" style="134" customWidth="1"/>
    <col min="8" max="8" width="1.421875" style="4" customWidth="1"/>
    <col min="9" max="9" width="5.00390625" style="147" bestFit="1" customWidth="1"/>
    <col min="10" max="10" width="3.140625" style="1" bestFit="1" customWidth="1"/>
    <col min="11" max="11" width="131.8515625" style="1" bestFit="1" customWidth="1"/>
    <col min="12" max="12" width="9.7109375" style="1" bestFit="1" customWidth="1"/>
    <col min="13" max="13" width="3.00390625" style="1" bestFit="1" customWidth="1"/>
    <col min="14" max="14" width="9.7109375" style="1" bestFit="1" customWidth="1"/>
    <col min="15" max="15" width="9.7109375" style="148" customWidth="1"/>
    <col min="16" max="16" width="22.421875" style="149" bestFit="1" customWidth="1"/>
    <col min="17" max="17" width="11.421875" style="1" customWidth="1"/>
    <col min="18" max="16384" width="9.140625" style="1" customWidth="1"/>
  </cols>
  <sheetData>
    <row r="1" spans="4:16" ht="12.75" customHeight="1">
      <c r="D1" s="2" t="s">
        <v>260</v>
      </c>
      <c r="E1" s="443" t="s">
        <v>0</v>
      </c>
      <c r="F1" s="443"/>
      <c r="G1" s="3">
        <f>SUM(G8:G93)</f>
        <v>43758.13</v>
      </c>
      <c r="I1" s="5"/>
      <c r="J1" s="6" t="s">
        <v>4</v>
      </c>
      <c r="K1" s="7" t="s">
        <v>57</v>
      </c>
      <c r="L1" s="8"/>
      <c r="M1" s="9"/>
      <c r="N1" s="10">
        <f>SUM(N2:N93)</f>
        <v>5973.669999999998</v>
      </c>
      <c r="O1" s="11" t="s">
        <v>150</v>
      </c>
      <c r="P1" s="12" t="str">
        <f>"Poids environ: "&amp;SUM(P2:P93)&amp;" kg"</f>
        <v>Poids environ: 157,822 kg</v>
      </c>
    </row>
    <row r="2" spans="3:16" ht="12" customHeight="1">
      <c r="C2" s="13"/>
      <c r="D2" s="436" t="str">
        <f>IF(G1&gt;0,ROUND(G1*5.565,2)&amp;" FF","")</f>
        <v>243513,99 FF</v>
      </c>
      <c r="E2" s="442" t="s">
        <v>1</v>
      </c>
      <c r="F2" s="15"/>
      <c r="G2" s="16"/>
      <c r="H2" s="17"/>
      <c r="I2" s="450" t="str">
        <f>"&lt; 2 milles: "&amp;ROUNDUP(SUM(N2:N25),0.5)&amp;" €"</f>
        <v>&lt; 2 milles: 1542 €</v>
      </c>
      <c r="J2" s="18"/>
      <c r="K2" s="19" t="s">
        <v>169</v>
      </c>
      <c r="L2" s="20">
        <f>169+17.9</f>
        <v>186.9</v>
      </c>
      <c r="M2" s="21"/>
      <c r="N2" s="22">
        <f aca="true" t="shared" si="0" ref="N2:N18">IF(AND(K2&gt;0,L2&gt;0,M2&gt;0),L2*M2,"")</f>
      </c>
      <c r="O2" s="23">
        <v>1</v>
      </c>
      <c r="P2" s="24">
        <f>IF(AND(M2&gt;0,O2&gt;0),M2*O2,"")</f>
      </c>
    </row>
    <row r="3" spans="3:16" ht="12.75" customHeight="1">
      <c r="C3" s="13"/>
      <c r="D3" s="436" t="s">
        <v>262</v>
      </c>
      <c r="E3" s="437">
        <v>26352.66</v>
      </c>
      <c r="F3" s="15"/>
      <c r="G3" s="14"/>
      <c r="H3" s="17"/>
      <c r="I3" s="450"/>
      <c r="J3" s="18"/>
      <c r="K3" s="19" t="s">
        <v>58</v>
      </c>
      <c r="L3" s="25">
        <v>146.10000000000002</v>
      </c>
      <c r="M3" s="26"/>
      <c r="N3" s="27">
        <f t="shared" si="0"/>
      </c>
      <c r="O3" s="23">
        <v>1</v>
      </c>
      <c r="P3" s="24">
        <f aca="true" t="shared" si="1" ref="P3:P18">IF(AND(M3&gt;0,O3&gt;0),M3*O3,"")</f>
      </c>
    </row>
    <row r="4" spans="3:16" ht="12.75" customHeight="1">
      <c r="C4" s="13"/>
      <c r="D4" s="438" t="s">
        <v>263</v>
      </c>
      <c r="E4" s="437">
        <f>1285.23+719.51</f>
        <v>2004.74</v>
      </c>
      <c r="F4" s="15"/>
      <c r="G4" s="14"/>
      <c r="H4" s="17"/>
      <c r="I4" s="450"/>
      <c r="J4" s="18"/>
      <c r="K4" s="19" t="s">
        <v>59</v>
      </c>
      <c r="L4" s="25">
        <v>208</v>
      </c>
      <c r="M4" s="26"/>
      <c r="N4" s="27">
        <f t="shared" si="0"/>
      </c>
      <c r="O4" s="23"/>
      <c r="P4" s="24">
        <f t="shared" si="1"/>
      </c>
    </row>
    <row r="5" spans="4:16" ht="12.75" customHeight="1">
      <c r="D5" s="436" t="s">
        <v>264</v>
      </c>
      <c r="E5" s="439">
        <v>2817.78</v>
      </c>
      <c r="F5" s="28"/>
      <c r="G5" s="3"/>
      <c r="H5" s="29"/>
      <c r="I5" s="450"/>
      <c r="J5" s="18"/>
      <c r="K5" s="30" t="s">
        <v>60</v>
      </c>
      <c r="L5" s="25">
        <v>355.9</v>
      </c>
      <c r="M5" s="26"/>
      <c r="N5" s="27">
        <f t="shared" si="0"/>
      </c>
      <c r="O5" s="23"/>
      <c r="P5" s="24">
        <f t="shared" si="1"/>
      </c>
    </row>
    <row r="6" spans="2:16" ht="13.5" customHeight="1">
      <c r="B6" s="31"/>
      <c r="C6" s="31"/>
      <c r="D6" s="440"/>
      <c r="E6" s="441"/>
      <c r="F6" s="33"/>
      <c r="G6" s="32"/>
      <c r="I6" s="450"/>
      <c r="J6" s="18"/>
      <c r="K6" s="30" t="s">
        <v>61</v>
      </c>
      <c r="L6" s="25">
        <v>36.4</v>
      </c>
      <c r="M6" s="26"/>
      <c r="N6" s="27">
        <f t="shared" si="0"/>
      </c>
      <c r="O6" s="23"/>
      <c r="P6" s="24">
        <f t="shared" si="1"/>
      </c>
    </row>
    <row r="7" spans="2:16" ht="15" customHeight="1">
      <c r="B7" s="34"/>
      <c r="C7" s="34"/>
      <c r="D7" s="35"/>
      <c r="E7" s="36"/>
      <c r="F7" s="37"/>
      <c r="G7" s="38" t="s">
        <v>2</v>
      </c>
      <c r="I7" s="450"/>
      <c r="J7" s="18"/>
      <c r="K7" s="30" t="s">
        <v>62</v>
      </c>
      <c r="L7" s="25">
        <v>112.80000000000001</v>
      </c>
      <c r="M7" s="26">
        <v>1</v>
      </c>
      <c r="N7" s="27">
        <f t="shared" si="0"/>
        <v>112.80000000000001</v>
      </c>
      <c r="O7" s="23"/>
      <c r="P7" s="24">
        <f t="shared" si="1"/>
      </c>
    </row>
    <row r="8" spans="2:16" ht="25.5">
      <c r="B8" s="34"/>
      <c r="C8" s="34"/>
      <c r="D8" s="34" t="s">
        <v>265</v>
      </c>
      <c r="E8" s="39">
        <f>SUM(E3:E7)</f>
        <v>31175.18</v>
      </c>
      <c r="F8" s="40">
        <v>1</v>
      </c>
      <c r="G8" s="39">
        <f>IF(E8&gt;0,E8*F8,"")</f>
        <v>31175.18</v>
      </c>
      <c r="I8" s="450"/>
      <c r="J8" s="18" t="s">
        <v>63</v>
      </c>
      <c r="K8" s="41" t="s">
        <v>115</v>
      </c>
      <c r="L8" s="27"/>
      <c r="M8" s="26"/>
      <c r="N8" s="27">
        <f t="shared" si="0"/>
      </c>
      <c r="O8" s="23"/>
      <c r="P8" s="24">
        <f t="shared" si="1"/>
      </c>
    </row>
    <row r="9" spans="2:16" ht="12.75">
      <c r="B9" s="34"/>
      <c r="C9" s="42"/>
      <c r="D9" s="445" t="s">
        <v>3</v>
      </c>
      <c r="E9" s="445"/>
      <c r="F9" s="43"/>
      <c r="G9" s="44"/>
      <c r="I9" s="450"/>
      <c r="J9" s="18"/>
      <c r="K9" s="41" t="s">
        <v>64</v>
      </c>
      <c r="L9" s="45">
        <v>43.6</v>
      </c>
      <c r="M9" s="26">
        <v>1</v>
      </c>
      <c r="N9" s="27">
        <f t="shared" si="0"/>
        <v>43.6</v>
      </c>
      <c r="O9" s="23">
        <v>2</v>
      </c>
      <c r="P9" s="24">
        <f t="shared" si="1"/>
        <v>2</v>
      </c>
    </row>
    <row r="10" spans="2:16" ht="12.75">
      <c r="B10" s="46"/>
      <c r="C10" s="46"/>
      <c r="D10" s="51"/>
      <c r="E10" s="48"/>
      <c r="F10" s="49"/>
      <c r="G10" s="50">
        <f>IF(F10&gt;0,E10*F10,"")</f>
      </c>
      <c r="I10" s="450"/>
      <c r="J10" s="18" t="s">
        <v>63</v>
      </c>
      <c r="K10" s="41" t="s">
        <v>116</v>
      </c>
      <c r="L10" s="27"/>
      <c r="M10" s="26">
        <v>1</v>
      </c>
      <c r="N10" s="27">
        <f t="shared" si="0"/>
      </c>
      <c r="O10" s="23"/>
      <c r="P10" s="24">
        <f t="shared" si="1"/>
      </c>
    </row>
    <row r="11" spans="2:16" ht="12.75">
      <c r="B11" s="46"/>
      <c r="C11" s="46"/>
      <c r="D11" s="51" t="s">
        <v>261</v>
      </c>
      <c r="E11" s="48">
        <v>1570</v>
      </c>
      <c r="F11" s="52">
        <v>1</v>
      </c>
      <c r="G11" s="50">
        <f>IF(F11&gt;0,E11*F11,"")</f>
        <v>1570</v>
      </c>
      <c r="I11" s="450"/>
      <c r="J11" s="18"/>
      <c r="K11" s="41" t="s">
        <v>191</v>
      </c>
      <c r="L11" s="53">
        <v>249</v>
      </c>
      <c r="M11" s="26">
        <v>1</v>
      </c>
      <c r="N11" s="27">
        <f t="shared" si="0"/>
        <v>249</v>
      </c>
      <c r="O11" s="23">
        <v>0.85</v>
      </c>
      <c r="P11" s="24">
        <f t="shared" si="1"/>
        <v>0.85</v>
      </c>
    </row>
    <row r="12" spans="2:16" ht="12.75">
      <c r="B12" s="46"/>
      <c r="C12" s="46"/>
      <c r="D12" s="51"/>
      <c r="E12" s="48"/>
      <c r="F12" s="52"/>
      <c r="G12" s="50">
        <f aca="true" t="shared" si="2" ref="G12:G27">IF(F12&gt;0,E12*F12,"")</f>
      </c>
      <c r="I12" s="450"/>
      <c r="J12" s="18"/>
      <c r="K12" s="41" t="s">
        <v>65</v>
      </c>
      <c r="L12" s="45">
        <v>5.1</v>
      </c>
      <c r="M12" s="26">
        <v>1</v>
      </c>
      <c r="N12" s="27">
        <f t="shared" si="0"/>
        <v>5.1</v>
      </c>
      <c r="O12" s="23">
        <v>0.35</v>
      </c>
      <c r="P12" s="24">
        <f t="shared" si="1"/>
        <v>0.35</v>
      </c>
    </row>
    <row r="13" spans="1:16" s="55" customFormat="1" ht="12.75" customHeight="1">
      <c r="A13" s="4"/>
      <c r="B13" s="46"/>
      <c r="C13" s="46"/>
      <c r="D13" s="51"/>
      <c r="E13" s="48"/>
      <c r="F13" s="52"/>
      <c r="G13" s="50">
        <f t="shared" si="2"/>
      </c>
      <c r="H13" s="444"/>
      <c r="I13" s="450"/>
      <c r="J13" s="18"/>
      <c r="K13" s="41" t="s">
        <v>66</v>
      </c>
      <c r="L13" s="54">
        <v>7</v>
      </c>
      <c r="M13" s="26">
        <v>1</v>
      </c>
      <c r="N13" s="27">
        <f t="shared" si="0"/>
        <v>7</v>
      </c>
      <c r="O13" s="23">
        <v>0.35</v>
      </c>
      <c r="P13" s="24">
        <f t="shared" si="1"/>
        <v>0.35</v>
      </c>
    </row>
    <row r="14" spans="1:16" s="55" customFormat="1" ht="12.75" customHeight="1">
      <c r="A14" s="4"/>
      <c r="B14" s="46"/>
      <c r="C14" s="46"/>
      <c r="D14" s="56"/>
      <c r="E14" s="48"/>
      <c r="F14" s="52"/>
      <c r="G14" s="50">
        <f t="shared" si="2"/>
      </c>
      <c r="H14" s="444"/>
      <c r="I14" s="450"/>
      <c r="J14" s="18" t="s">
        <v>63</v>
      </c>
      <c r="K14" s="41" t="s">
        <v>143</v>
      </c>
      <c r="L14" s="27"/>
      <c r="M14" s="26">
        <v>1</v>
      </c>
      <c r="N14" s="27">
        <f t="shared" si="0"/>
      </c>
      <c r="O14" s="23">
        <v>0.38</v>
      </c>
      <c r="P14" s="24">
        <f t="shared" si="1"/>
        <v>0.38</v>
      </c>
    </row>
    <row r="15" spans="2:16" ht="12.75">
      <c r="B15" s="46"/>
      <c r="C15" s="46"/>
      <c r="D15" s="435"/>
      <c r="E15" s="48"/>
      <c r="F15" s="52"/>
      <c r="G15" s="50">
        <f t="shared" si="2"/>
      </c>
      <c r="I15" s="450"/>
      <c r="J15" s="18" t="s">
        <v>63</v>
      </c>
      <c r="K15" s="57" t="s">
        <v>117</v>
      </c>
      <c r="L15" s="58">
        <v>5.8</v>
      </c>
      <c r="M15" s="26"/>
      <c r="N15" s="27">
        <f t="shared" si="0"/>
      </c>
      <c r="O15" s="23">
        <v>0.088</v>
      </c>
      <c r="P15" s="24">
        <f t="shared" si="1"/>
      </c>
    </row>
    <row r="16" spans="2:16" ht="12.75">
      <c r="B16" s="46"/>
      <c r="C16" s="46"/>
      <c r="D16" s="51" t="s">
        <v>93</v>
      </c>
      <c r="E16" s="48">
        <f>ROUNDUP(SUM(N2:N25),0.5)</f>
        <v>1542</v>
      </c>
      <c r="F16" s="52">
        <v>1</v>
      </c>
      <c r="G16" s="50">
        <f t="shared" si="2"/>
        <v>1542</v>
      </c>
      <c r="I16" s="450"/>
      <c r="J16" s="18"/>
      <c r="K16" s="57" t="s">
        <v>253</v>
      </c>
      <c r="L16" s="58">
        <f>119+28.6+51+76.4</f>
        <v>275</v>
      </c>
      <c r="M16" s="26">
        <v>1</v>
      </c>
      <c r="N16" s="27">
        <f t="shared" si="0"/>
        <v>275</v>
      </c>
      <c r="O16" s="23">
        <f>0.056*60+8+5*0.82+0.25+0.8*4</f>
        <v>18.91</v>
      </c>
      <c r="P16" s="24">
        <f t="shared" si="1"/>
        <v>18.91</v>
      </c>
    </row>
    <row r="17" spans="2:16" ht="12.75">
      <c r="B17" s="46"/>
      <c r="C17" s="46"/>
      <c r="D17" s="47" t="s">
        <v>5</v>
      </c>
      <c r="E17" s="48">
        <f>ROUNDUP(SUM(N26:N33),0.5)</f>
        <v>323</v>
      </c>
      <c r="F17" s="52">
        <v>1</v>
      </c>
      <c r="G17" s="50">
        <f t="shared" si="2"/>
        <v>323</v>
      </c>
      <c r="I17" s="450"/>
      <c r="J17" s="18"/>
      <c r="K17" s="57" t="s">
        <v>254</v>
      </c>
      <c r="L17" s="59">
        <f>142+23.6+39+178</f>
        <v>382.6</v>
      </c>
      <c r="M17" s="26">
        <v>1</v>
      </c>
      <c r="N17" s="27">
        <f t="shared" si="0"/>
        <v>382.6</v>
      </c>
      <c r="O17" s="23">
        <f>0.056*30</f>
        <v>1.68</v>
      </c>
      <c r="P17" s="24">
        <f t="shared" si="1"/>
        <v>1.68</v>
      </c>
    </row>
    <row r="18" spans="2:16" ht="12.75">
      <c r="B18" s="46"/>
      <c r="C18" s="46"/>
      <c r="D18" s="51" t="s">
        <v>94</v>
      </c>
      <c r="E18" s="48">
        <f>ROUNDUP(SUM(N34:N41),0.5)</f>
        <v>1349</v>
      </c>
      <c r="F18" s="52">
        <v>1</v>
      </c>
      <c r="G18" s="50">
        <f t="shared" si="2"/>
        <v>1349</v>
      </c>
      <c r="I18" s="450"/>
      <c r="J18" s="18"/>
      <c r="K18" s="41" t="s">
        <v>255</v>
      </c>
      <c r="L18" s="45">
        <f>4*30.4+14.3+29.4+4.2</f>
        <v>169.5</v>
      </c>
      <c r="M18" s="26">
        <v>1</v>
      </c>
      <c r="N18" s="27">
        <f t="shared" si="0"/>
        <v>169.5</v>
      </c>
      <c r="O18" s="23">
        <v>1.5</v>
      </c>
      <c r="P18" s="24">
        <f t="shared" si="1"/>
        <v>1.5</v>
      </c>
    </row>
    <row r="19" spans="2:16" ht="12.75" customHeight="1">
      <c r="B19" s="46"/>
      <c r="C19" s="46"/>
      <c r="D19" s="51"/>
      <c r="E19" s="48">
        <v>1195</v>
      </c>
      <c r="F19" s="60">
        <v>1</v>
      </c>
      <c r="G19" s="50">
        <f t="shared" si="2"/>
        <v>1195</v>
      </c>
      <c r="I19" s="450"/>
      <c r="J19" s="18"/>
      <c r="K19" s="41" t="s">
        <v>132</v>
      </c>
      <c r="L19" s="59">
        <v>43</v>
      </c>
      <c r="M19" s="26">
        <v>1</v>
      </c>
      <c r="N19" s="27">
        <f aca="true" t="shared" si="3" ref="N19:N27">IF(AND(K19&gt;0,L19&gt;0,M19&gt;0),L19*M19,"")</f>
        <v>43</v>
      </c>
      <c r="O19" s="23">
        <f>0.056*30</f>
        <v>1.68</v>
      </c>
      <c r="P19" s="24">
        <f aca="true" t="shared" si="4" ref="P19:P31">IF(AND(M19&gt;0,O19&gt;0),M19*O19,"")</f>
        <v>1.68</v>
      </c>
    </row>
    <row r="20" spans="2:16" ht="12.75" customHeight="1">
      <c r="B20" s="46"/>
      <c r="C20" s="46"/>
      <c r="D20" s="51" t="s">
        <v>171</v>
      </c>
      <c r="E20" s="48">
        <f>ROUNDUP(SUM(N66:N76),0.5)</f>
        <v>1466</v>
      </c>
      <c r="F20" s="52">
        <v>1</v>
      </c>
      <c r="G20" s="50">
        <f t="shared" si="2"/>
        <v>1466</v>
      </c>
      <c r="I20" s="450"/>
      <c r="J20" s="18"/>
      <c r="K20" s="41" t="s">
        <v>145</v>
      </c>
      <c r="L20" s="45">
        <v>17.9</v>
      </c>
      <c r="M20" s="26">
        <v>1</v>
      </c>
      <c r="N20" s="27">
        <f t="shared" si="3"/>
        <v>17.9</v>
      </c>
      <c r="O20" s="23">
        <v>1.5</v>
      </c>
      <c r="P20" s="24">
        <f t="shared" si="4"/>
        <v>1.5</v>
      </c>
    </row>
    <row r="21" spans="2:16" ht="12.75">
      <c r="B21" s="46"/>
      <c r="C21" s="46"/>
      <c r="D21" s="51" t="s">
        <v>95</v>
      </c>
      <c r="E21" s="48">
        <f>ROUNDUP(SUM(N42:N65),0.5)</f>
        <v>1296</v>
      </c>
      <c r="F21" s="52">
        <v>1</v>
      </c>
      <c r="G21" s="50">
        <f t="shared" si="2"/>
        <v>1296</v>
      </c>
      <c r="I21" s="450"/>
      <c r="J21" s="18"/>
      <c r="K21" s="41" t="s">
        <v>135</v>
      </c>
      <c r="L21" s="45">
        <v>39.9</v>
      </c>
      <c r="M21" s="26">
        <v>1</v>
      </c>
      <c r="N21" s="27">
        <f t="shared" si="3"/>
        <v>39.9</v>
      </c>
      <c r="O21" s="23">
        <v>0.4</v>
      </c>
      <c r="P21" s="24">
        <f t="shared" si="4"/>
        <v>0.4</v>
      </c>
    </row>
    <row r="22" spans="2:16" ht="12.75" customHeight="1">
      <c r="B22" s="46"/>
      <c r="C22" s="46"/>
      <c r="D22" s="47" t="s">
        <v>7</v>
      </c>
      <c r="E22" s="48"/>
      <c r="F22" s="52"/>
      <c r="G22" s="50">
        <f t="shared" si="2"/>
      </c>
      <c r="I22" s="450"/>
      <c r="J22" s="18"/>
      <c r="K22" s="41" t="s">
        <v>67</v>
      </c>
      <c r="L22" s="45">
        <v>8.9</v>
      </c>
      <c r="M22" s="26">
        <v>1</v>
      </c>
      <c r="N22" s="27">
        <f t="shared" si="3"/>
        <v>8.9</v>
      </c>
      <c r="O22" s="23">
        <v>0.2</v>
      </c>
      <c r="P22" s="24">
        <f t="shared" si="4"/>
        <v>0.2</v>
      </c>
    </row>
    <row r="23" spans="2:16" ht="12.75" customHeight="1">
      <c r="B23" s="46"/>
      <c r="C23" s="46"/>
      <c r="D23" s="47"/>
      <c r="E23" s="48"/>
      <c r="F23" s="52"/>
      <c r="G23" s="50">
        <f t="shared" si="2"/>
      </c>
      <c r="I23" s="450"/>
      <c r="J23" s="18"/>
      <c r="K23" s="41" t="s">
        <v>256</v>
      </c>
      <c r="L23" s="45">
        <v>58</v>
      </c>
      <c r="M23" s="26">
        <v>2</v>
      </c>
      <c r="N23" s="27">
        <f t="shared" si="3"/>
        <v>116</v>
      </c>
      <c r="O23" s="23">
        <v>0.38</v>
      </c>
      <c r="P23" s="24">
        <f t="shared" si="4"/>
        <v>0.76</v>
      </c>
    </row>
    <row r="24" spans="2:16" ht="12.75" customHeight="1">
      <c r="B24" s="46"/>
      <c r="C24" s="46"/>
      <c r="D24" s="51" t="s">
        <v>230</v>
      </c>
      <c r="E24" s="48">
        <v>790</v>
      </c>
      <c r="F24" s="52">
        <v>1</v>
      </c>
      <c r="G24" s="50">
        <f t="shared" si="2"/>
        <v>790</v>
      </c>
      <c r="I24" s="450"/>
      <c r="J24" s="18"/>
      <c r="K24" s="41" t="s">
        <v>131</v>
      </c>
      <c r="L24" s="27">
        <v>71</v>
      </c>
      <c r="M24" s="26">
        <v>1</v>
      </c>
      <c r="N24" s="27">
        <f t="shared" si="3"/>
        <v>71</v>
      </c>
      <c r="O24" s="23">
        <v>1.2</v>
      </c>
      <c r="P24" s="24">
        <f t="shared" si="4"/>
        <v>1.2</v>
      </c>
    </row>
    <row r="25" spans="2:16" ht="12.75" customHeight="1">
      <c r="B25" s="46"/>
      <c r="C25" s="46"/>
      <c r="D25" s="51"/>
      <c r="E25" s="48"/>
      <c r="F25" s="52"/>
      <c r="G25" s="50">
        <f t="shared" si="2"/>
      </c>
      <c r="I25" s="450"/>
      <c r="J25" s="18"/>
      <c r="K25" s="41" t="s">
        <v>149</v>
      </c>
      <c r="L25" s="45">
        <v>61</v>
      </c>
      <c r="M25" s="26"/>
      <c r="N25" s="27">
        <f t="shared" si="3"/>
      </c>
      <c r="O25" s="23"/>
      <c r="P25" s="24">
        <f t="shared" si="4"/>
      </c>
    </row>
    <row r="26" spans="1:16" ht="12.75" customHeight="1">
      <c r="A26" s="65"/>
      <c r="B26" s="46"/>
      <c r="C26" s="46"/>
      <c r="D26" s="257"/>
      <c r="E26" s="66"/>
      <c r="F26" s="52"/>
      <c r="G26" s="50">
        <f t="shared" si="2"/>
      </c>
      <c r="I26" s="449" t="str">
        <f>"&lt; 6 milles: "&amp;ROUNDUP(SUM(N26:N33),0.5)&amp;" €"</f>
        <v>&lt; 6 milles: 323 €</v>
      </c>
      <c r="J26" s="61" t="s">
        <v>63</v>
      </c>
      <c r="K26" s="62" t="s">
        <v>6</v>
      </c>
      <c r="L26" s="63"/>
      <c r="M26" s="64">
        <v>1</v>
      </c>
      <c r="N26" s="63">
        <f t="shared" si="3"/>
      </c>
      <c r="O26" s="23">
        <v>0.07</v>
      </c>
      <c r="P26" s="24">
        <f t="shared" si="4"/>
        <v>0.07</v>
      </c>
    </row>
    <row r="27" spans="2:16" ht="12.75" customHeight="1">
      <c r="B27" s="46"/>
      <c r="C27" s="46"/>
      <c r="D27" s="257"/>
      <c r="E27" s="48"/>
      <c r="F27" s="52"/>
      <c r="G27" s="50">
        <f t="shared" si="2"/>
      </c>
      <c r="I27" s="449"/>
      <c r="J27" s="61" t="s">
        <v>63</v>
      </c>
      <c r="K27" s="62" t="s">
        <v>69</v>
      </c>
      <c r="L27" s="63"/>
      <c r="M27" s="64">
        <v>1</v>
      </c>
      <c r="N27" s="63">
        <f t="shared" si="3"/>
      </c>
      <c r="O27" s="23"/>
      <c r="P27" s="24">
        <f t="shared" si="4"/>
      </c>
    </row>
    <row r="28" spans="2:16" ht="12.75" customHeight="1">
      <c r="B28" s="46"/>
      <c r="C28" s="46"/>
      <c r="D28" s="51"/>
      <c r="E28" s="48"/>
      <c r="F28" s="52"/>
      <c r="G28" s="50">
        <f>IF(F28&gt;0,E28*F28,"")</f>
      </c>
      <c r="I28" s="449"/>
      <c r="J28" s="61" t="s">
        <v>63</v>
      </c>
      <c r="K28" s="62" t="s">
        <v>70</v>
      </c>
      <c r="L28" s="67">
        <v>12.8</v>
      </c>
      <c r="M28" s="64">
        <v>1</v>
      </c>
      <c r="N28" s="63">
        <f aca="true" t="shared" si="5" ref="N28:N46">IF(AND(K28&gt;0,L28&gt;0,M28&gt;0),L28*M28,"")</f>
        <v>12.8</v>
      </c>
      <c r="O28" s="23">
        <v>0.02</v>
      </c>
      <c r="P28" s="24">
        <f t="shared" si="4"/>
        <v>0.02</v>
      </c>
    </row>
    <row r="29" spans="2:16" ht="12.75" customHeight="1">
      <c r="B29" s="34"/>
      <c r="C29" s="42"/>
      <c r="D29" s="51"/>
      <c r="E29" s="48"/>
      <c r="F29" s="52"/>
      <c r="G29" s="50">
        <f>IF(F29&gt;0,E29*F29,"")</f>
      </c>
      <c r="I29" s="449"/>
      <c r="J29" s="61"/>
      <c r="K29" s="68" t="s">
        <v>259</v>
      </c>
      <c r="L29" s="67">
        <v>300</v>
      </c>
      <c r="M29" s="64">
        <v>1</v>
      </c>
      <c r="N29" s="63">
        <f t="shared" si="5"/>
        <v>300</v>
      </c>
      <c r="O29" s="23">
        <v>0.6</v>
      </c>
      <c r="P29" s="24">
        <f t="shared" si="4"/>
        <v>0.6</v>
      </c>
    </row>
    <row r="30" spans="2:16" ht="12.75" customHeight="1">
      <c r="B30" s="46"/>
      <c r="C30" s="46"/>
      <c r="D30" s="51"/>
      <c r="E30" s="48"/>
      <c r="F30" s="52"/>
      <c r="G30" s="50">
        <f>IF(F30&gt;0,E30*F30,"")</f>
      </c>
      <c r="I30" s="449"/>
      <c r="J30" s="61" t="s">
        <v>63</v>
      </c>
      <c r="K30" s="68" t="s">
        <v>258</v>
      </c>
      <c r="L30" s="63">
        <v>10.1</v>
      </c>
      <c r="M30" s="64">
        <v>1</v>
      </c>
      <c r="N30" s="63">
        <f t="shared" si="5"/>
        <v>10.1</v>
      </c>
      <c r="O30" s="23">
        <v>0.8</v>
      </c>
      <c r="P30" s="24">
        <f t="shared" si="4"/>
        <v>0.8</v>
      </c>
    </row>
    <row r="31" spans="2:16" ht="12.75" customHeight="1">
      <c r="B31" s="46"/>
      <c r="C31" s="46"/>
      <c r="D31" s="445" t="s">
        <v>8</v>
      </c>
      <c r="E31" s="445"/>
      <c r="F31" s="43"/>
      <c r="G31" s="44"/>
      <c r="I31" s="449"/>
      <c r="J31" s="61" t="s">
        <v>63</v>
      </c>
      <c r="K31" s="62" t="s">
        <v>71</v>
      </c>
      <c r="L31" s="63"/>
      <c r="M31" s="64">
        <v>1</v>
      </c>
      <c r="N31" s="63">
        <f t="shared" si="5"/>
      </c>
      <c r="O31" s="23">
        <v>4</v>
      </c>
      <c r="P31" s="24">
        <f t="shared" si="4"/>
        <v>4</v>
      </c>
    </row>
    <row r="32" spans="2:16" ht="12.75" customHeight="1">
      <c r="B32" s="46"/>
      <c r="C32" s="46"/>
      <c r="D32" s="47" t="s">
        <v>9</v>
      </c>
      <c r="E32" s="69"/>
      <c r="F32" s="52"/>
      <c r="G32" s="50">
        <f>IF(F32&gt;0,E32*F32,"")</f>
      </c>
      <c r="I32" s="449"/>
      <c r="J32" s="61" t="s">
        <v>63</v>
      </c>
      <c r="K32" s="62" t="s">
        <v>72</v>
      </c>
      <c r="L32" s="63"/>
      <c r="M32" s="64">
        <v>1</v>
      </c>
      <c r="N32" s="70">
        <f t="shared" si="5"/>
      </c>
      <c r="O32" s="23">
        <v>0.02</v>
      </c>
      <c r="P32" s="24">
        <f aca="true" t="shared" si="6" ref="P32:P95">IF(AND(M32&gt;0,O32&gt;0),M32*O32,"")</f>
        <v>0.02</v>
      </c>
    </row>
    <row r="33" spans="2:16" ht="12.75" customHeight="1">
      <c r="B33" s="34"/>
      <c r="C33" s="42"/>
      <c r="D33" s="343" t="s">
        <v>10</v>
      </c>
      <c r="E33" s="343"/>
      <c r="F33" s="43"/>
      <c r="G33" s="44"/>
      <c r="I33" s="449"/>
      <c r="J33" s="61" t="s">
        <v>63</v>
      </c>
      <c r="K33" s="62" t="s">
        <v>68</v>
      </c>
      <c r="L33" s="63"/>
      <c r="M33" s="64">
        <v>1</v>
      </c>
      <c r="N33" s="70">
        <f t="shared" si="5"/>
      </c>
      <c r="O33" s="23">
        <v>0.022</v>
      </c>
      <c r="P33" s="24">
        <f t="shared" si="6"/>
        <v>0.022</v>
      </c>
    </row>
    <row r="34" spans="2:16" ht="12.75" customHeight="1">
      <c r="B34" s="46"/>
      <c r="C34" s="46"/>
      <c r="D34" s="71" t="s">
        <v>170</v>
      </c>
      <c r="E34" s="72">
        <v>1350</v>
      </c>
      <c r="F34" s="73"/>
      <c r="G34" s="50">
        <f>IF(F34&gt;0,E34*F34,"")</f>
      </c>
      <c r="I34" s="448" t="str">
        <f>"&gt; 6 milles: "&amp;ROUNDUP(SUM(N34:N41),0.5)&amp;" €"</f>
        <v>&gt; 6 milles: 1349 €</v>
      </c>
      <c r="J34" s="74"/>
      <c r="K34" s="75" t="s">
        <v>257</v>
      </c>
      <c r="L34" s="76">
        <v>1325</v>
      </c>
      <c r="M34" s="77">
        <v>1</v>
      </c>
      <c r="N34" s="76">
        <f t="shared" si="5"/>
        <v>1325</v>
      </c>
      <c r="O34" s="23">
        <v>32</v>
      </c>
      <c r="P34" s="24">
        <f t="shared" si="6"/>
        <v>32</v>
      </c>
    </row>
    <row r="35" spans="2:16" ht="12.75" customHeight="1">
      <c r="B35" s="46"/>
      <c r="C35" s="46"/>
      <c r="D35" s="71" t="s">
        <v>232</v>
      </c>
      <c r="E35" s="78">
        <v>1560</v>
      </c>
      <c r="F35" s="52">
        <v>1</v>
      </c>
      <c r="G35" s="50">
        <f>IF(F35&gt;0,E35*F35,"")</f>
        <v>1560</v>
      </c>
      <c r="I35" s="448"/>
      <c r="J35" s="74"/>
      <c r="K35" s="75" t="s">
        <v>73</v>
      </c>
      <c r="L35" s="76">
        <v>24</v>
      </c>
      <c r="M35" s="77">
        <v>1</v>
      </c>
      <c r="N35" s="76">
        <f t="shared" si="5"/>
        <v>24</v>
      </c>
      <c r="O35" s="23">
        <v>0.95</v>
      </c>
      <c r="P35" s="24">
        <f t="shared" si="6"/>
        <v>0.95</v>
      </c>
    </row>
    <row r="36" spans="2:16" ht="12.75" customHeight="1">
      <c r="B36" s="46"/>
      <c r="C36" s="46"/>
      <c r="D36" s="71" t="s">
        <v>222</v>
      </c>
      <c r="E36" s="48">
        <v>2560</v>
      </c>
      <c r="F36" s="52"/>
      <c r="G36" s="50">
        <f>IF(F36&gt;0,E36*F36,"")</f>
      </c>
      <c r="I36" s="448"/>
      <c r="J36" s="74"/>
      <c r="K36" s="75" t="s">
        <v>144</v>
      </c>
      <c r="L36" s="76">
        <f>130-L29</f>
        <v>-170</v>
      </c>
      <c r="M36" s="77"/>
      <c r="N36" s="76">
        <f t="shared" si="5"/>
      </c>
      <c r="O36" s="23">
        <v>1.5</v>
      </c>
      <c r="P36" s="24">
        <f t="shared" si="6"/>
      </c>
    </row>
    <row r="37" spans="2:16" ht="12.75" customHeight="1">
      <c r="B37" s="46"/>
      <c r="C37" s="46"/>
      <c r="D37" s="71" t="s">
        <v>161</v>
      </c>
      <c r="E37" s="78">
        <v>1420</v>
      </c>
      <c r="F37" s="79"/>
      <c r="G37" s="50">
        <f>IF(F37&gt;0,E37*F37,"")</f>
      </c>
      <c r="I37" s="448"/>
      <c r="J37" s="74"/>
      <c r="K37" s="75" t="s">
        <v>74</v>
      </c>
      <c r="L37" s="81">
        <v>169</v>
      </c>
      <c r="M37" s="77"/>
      <c r="N37" s="76">
        <f t="shared" si="5"/>
      </c>
      <c r="O37" s="23">
        <v>0.58</v>
      </c>
      <c r="P37" s="24">
        <f t="shared" si="6"/>
      </c>
    </row>
    <row r="38" spans="2:16" ht="12.75">
      <c r="B38" s="46"/>
      <c r="C38" s="46"/>
      <c r="D38" s="71" t="s">
        <v>160</v>
      </c>
      <c r="E38" s="48">
        <v>1330</v>
      </c>
      <c r="F38" s="52"/>
      <c r="G38" s="50">
        <f aca="true" t="shared" si="7" ref="G38:G46">IF(F38&gt;0,E38*F38,"")</f>
      </c>
      <c r="I38" s="448"/>
      <c r="J38" s="74" t="s">
        <v>63</v>
      </c>
      <c r="K38" s="75" t="s">
        <v>75</v>
      </c>
      <c r="L38" s="81"/>
      <c r="M38" s="77">
        <v>1</v>
      </c>
      <c r="N38" s="76">
        <f t="shared" si="5"/>
      </c>
      <c r="O38" s="23">
        <v>0.12</v>
      </c>
      <c r="P38" s="24">
        <f t="shared" si="6"/>
        <v>0.12</v>
      </c>
    </row>
    <row r="39" spans="2:16" ht="12.75">
      <c r="B39" s="46"/>
      <c r="C39" s="46"/>
      <c r="D39" s="71"/>
      <c r="E39" s="48"/>
      <c r="F39" s="79"/>
      <c r="G39" s="50">
        <f t="shared" si="7"/>
      </c>
      <c r="I39" s="448"/>
      <c r="J39" s="74" t="s">
        <v>63</v>
      </c>
      <c r="K39" s="82" t="s">
        <v>76</v>
      </c>
      <c r="L39" s="81"/>
      <c r="M39" s="77">
        <v>1</v>
      </c>
      <c r="N39" s="83">
        <f t="shared" si="5"/>
      </c>
      <c r="O39" s="23">
        <v>0.6</v>
      </c>
      <c r="P39" s="24">
        <f t="shared" si="6"/>
        <v>0.6</v>
      </c>
    </row>
    <row r="40" spans="2:16" ht="12.75" customHeight="1">
      <c r="B40" s="46"/>
      <c r="C40" s="46"/>
      <c r="D40" s="80" t="s">
        <v>223</v>
      </c>
      <c r="E40" s="78">
        <v>1750</v>
      </c>
      <c r="F40" s="79"/>
      <c r="G40" s="50">
        <f t="shared" si="7"/>
      </c>
      <c r="I40" s="448"/>
      <c r="J40" s="74" t="s">
        <v>63</v>
      </c>
      <c r="K40" s="75" t="s">
        <v>77</v>
      </c>
      <c r="L40" s="84"/>
      <c r="M40" s="77">
        <v>1</v>
      </c>
      <c r="N40" s="85">
        <f t="shared" si="5"/>
      </c>
      <c r="O40" s="23">
        <v>0.4</v>
      </c>
      <c r="P40" s="24">
        <f t="shared" si="6"/>
        <v>0.4</v>
      </c>
    </row>
    <row r="41" spans="2:16" ht="12.75">
      <c r="B41" s="46"/>
      <c r="C41" s="46"/>
      <c r="D41" s="80" t="s">
        <v>231</v>
      </c>
      <c r="E41" s="78">
        <v>600</v>
      </c>
      <c r="F41" s="79"/>
      <c r="G41" s="50">
        <f t="shared" si="7"/>
      </c>
      <c r="I41" s="448"/>
      <c r="J41" s="74" t="s">
        <v>63</v>
      </c>
      <c r="K41" s="75" t="s">
        <v>13</v>
      </c>
      <c r="L41" s="76"/>
      <c r="M41" s="77">
        <v>1</v>
      </c>
      <c r="N41" s="86">
        <f t="shared" si="5"/>
      </c>
      <c r="O41" s="23">
        <v>0.4</v>
      </c>
      <c r="P41" s="24">
        <f t="shared" si="6"/>
        <v>0.4</v>
      </c>
    </row>
    <row r="42" spans="2:16" ht="12.75">
      <c r="B42" s="46"/>
      <c r="C42" s="46"/>
      <c r="D42" s="80" t="s">
        <v>11</v>
      </c>
      <c r="E42" s="78">
        <v>1000</v>
      </c>
      <c r="F42" s="79"/>
      <c r="G42" s="50">
        <f t="shared" si="7"/>
      </c>
      <c r="I42" s="447" t="str">
        <f>"Recommandé: "&amp;ROUNDUP(SUM(N42:N65),0.5)&amp;" €"</f>
        <v>Recommandé: 1296 €</v>
      </c>
      <c r="J42" s="87"/>
      <c r="K42" s="88" t="s">
        <v>189</v>
      </c>
      <c r="L42" s="89">
        <f>35+24.5</f>
        <v>59.5</v>
      </c>
      <c r="M42" s="90"/>
      <c r="N42" s="91">
        <f t="shared" si="5"/>
      </c>
      <c r="O42" s="23">
        <v>0.28</v>
      </c>
      <c r="P42" s="24">
        <f t="shared" si="6"/>
      </c>
    </row>
    <row r="43" spans="2:16" ht="12.75">
      <c r="B43" s="46"/>
      <c r="C43" s="46"/>
      <c r="D43" s="80" t="s">
        <v>18</v>
      </c>
      <c r="E43" s="78">
        <v>2950</v>
      </c>
      <c r="F43" s="79"/>
      <c r="G43" s="50">
        <f t="shared" si="7"/>
      </c>
      <c r="I43" s="447"/>
      <c r="J43" s="92"/>
      <c r="K43" s="93" t="s">
        <v>138</v>
      </c>
      <c r="L43" s="94">
        <f>339+219</f>
        <v>558</v>
      </c>
      <c r="M43" s="95"/>
      <c r="N43" s="91">
        <f t="shared" si="5"/>
      </c>
      <c r="O43" s="23"/>
      <c r="P43" s="24">
        <f t="shared" si="6"/>
      </c>
    </row>
    <row r="44" spans="2:16" ht="12.75">
      <c r="B44" s="46"/>
      <c r="C44" s="46"/>
      <c r="D44" s="80" t="s">
        <v>12</v>
      </c>
      <c r="E44" s="78">
        <v>100</v>
      </c>
      <c r="F44" s="79"/>
      <c r="G44" s="50">
        <f t="shared" si="7"/>
      </c>
      <c r="I44" s="447"/>
      <c r="J44" s="92"/>
      <c r="K44" s="99" t="s">
        <v>140</v>
      </c>
      <c r="L44" s="91">
        <f>234.99+484.95</f>
        <v>719.94</v>
      </c>
      <c r="M44" s="95"/>
      <c r="N44" s="91">
        <f t="shared" si="5"/>
      </c>
      <c r="O44" s="23"/>
      <c r="P44" s="24">
        <f t="shared" si="6"/>
      </c>
    </row>
    <row r="45" spans="2:16" ht="12.75">
      <c r="B45" s="46"/>
      <c r="C45" s="46"/>
      <c r="D45" s="80" t="s">
        <v>19</v>
      </c>
      <c r="E45" s="78">
        <v>2400</v>
      </c>
      <c r="F45" s="79"/>
      <c r="G45" s="50">
        <f t="shared" si="7"/>
      </c>
      <c r="I45" s="447"/>
      <c r="J45" s="92" t="s">
        <v>63</v>
      </c>
      <c r="K45" s="99" t="s">
        <v>78</v>
      </c>
      <c r="L45" s="91"/>
      <c r="M45" s="95">
        <v>1</v>
      </c>
      <c r="N45" s="91">
        <f t="shared" si="5"/>
      </c>
      <c r="O45" s="23">
        <v>3.5</v>
      </c>
      <c r="P45" s="24">
        <f t="shared" si="6"/>
        <v>3.5</v>
      </c>
    </row>
    <row r="46" spans="2:16" ht="12.75">
      <c r="B46" s="46"/>
      <c r="C46" s="46"/>
      <c r="D46" s="80" t="s">
        <v>14</v>
      </c>
      <c r="E46" s="78">
        <v>600</v>
      </c>
      <c r="F46" s="79"/>
      <c r="G46" s="50">
        <f t="shared" si="7"/>
      </c>
      <c r="I46" s="447"/>
      <c r="J46" s="92" t="s">
        <v>63</v>
      </c>
      <c r="K46" s="99" t="s">
        <v>17</v>
      </c>
      <c r="L46" s="91"/>
      <c r="M46" s="95"/>
      <c r="N46" s="91">
        <f t="shared" si="5"/>
      </c>
      <c r="O46" s="23"/>
      <c r="P46" s="24">
        <f t="shared" si="6"/>
      </c>
    </row>
    <row r="47" spans="2:16" ht="12.75" customHeight="1">
      <c r="B47" s="46"/>
      <c r="C47" s="46"/>
      <c r="D47" s="96" t="s">
        <v>118</v>
      </c>
      <c r="E47" s="96"/>
      <c r="F47" s="97"/>
      <c r="G47" s="98"/>
      <c r="I47" s="447"/>
      <c r="J47" s="92"/>
      <c r="K47" s="99" t="s">
        <v>133</v>
      </c>
      <c r="L47" s="91">
        <v>4.9</v>
      </c>
      <c r="M47" s="95">
        <v>1</v>
      </c>
      <c r="N47" s="91">
        <f>IF(AND(K47&gt;0,L47&gt;0,M47&gt;0),L47*M47,"")</f>
        <v>4.9</v>
      </c>
      <c r="O47" s="23">
        <v>0.35</v>
      </c>
      <c r="P47" s="24">
        <f t="shared" si="6"/>
        <v>0.35</v>
      </c>
    </row>
    <row r="48" spans="2:16" ht="12.75">
      <c r="B48" s="46"/>
      <c r="C48" s="46"/>
      <c r="D48" s="377" t="s">
        <v>119</v>
      </c>
      <c r="E48" s="78"/>
      <c r="F48" s="79"/>
      <c r="G48" s="50">
        <f aca="true" t="shared" si="8" ref="G48:G65">IF(F48&gt;0,E48*F48,"")</f>
      </c>
      <c r="I48" s="447"/>
      <c r="J48" s="92"/>
      <c r="K48" s="99" t="s">
        <v>79</v>
      </c>
      <c r="L48" s="91"/>
      <c r="M48" s="95"/>
      <c r="N48" s="91">
        <f>IF(AND(K48&gt;0,L48&gt;0,M48&gt;0),L48*M48,"")</f>
      </c>
      <c r="O48" s="23"/>
      <c r="P48" s="24">
        <f t="shared" si="6"/>
      </c>
    </row>
    <row r="49" spans="2:16" ht="12.75">
      <c r="B49" s="46"/>
      <c r="C49" s="46"/>
      <c r="D49" s="377" t="s">
        <v>120</v>
      </c>
      <c r="E49" s="78"/>
      <c r="F49" s="79"/>
      <c r="G49" s="50">
        <f t="shared" si="8"/>
      </c>
      <c r="I49" s="447"/>
      <c r="J49" s="92"/>
      <c r="K49" s="102" t="s">
        <v>15</v>
      </c>
      <c r="L49" s="91"/>
      <c r="M49" s="95"/>
      <c r="N49" s="91">
        <f aca="true" t="shared" si="9" ref="N49:N60">IF(AND(K49&gt;0,L49&gt;0,M49&gt;0),L49*M49,"")</f>
      </c>
      <c r="O49" s="23"/>
      <c r="P49" s="24">
        <f t="shared" si="6"/>
      </c>
    </row>
    <row r="50" spans="2:16" ht="14.25">
      <c r="B50" s="46"/>
      <c r="C50" s="46"/>
      <c r="D50" s="377" t="s">
        <v>233</v>
      </c>
      <c r="E50" s="78">
        <v>1575</v>
      </c>
      <c r="F50" s="79"/>
      <c r="G50" s="50">
        <f t="shared" si="8"/>
      </c>
      <c r="I50" s="447"/>
      <c r="J50" s="92"/>
      <c r="K50" s="99" t="s">
        <v>130</v>
      </c>
      <c r="L50" s="103">
        <v>299</v>
      </c>
      <c r="M50" s="95"/>
      <c r="N50" s="91">
        <f t="shared" si="9"/>
      </c>
      <c r="O50" s="23"/>
      <c r="P50" s="24">
        <f t="shared" si="6"/>
      </c>
    </row>
    <row r="51" spans="2:16" ht="12.75" customHeight="1">
      <c r="B51" s="46"/>
      <c r="C51" s="46"/>
      <c r="D51" s="378" t="s">
        <v>247</v>
      </c>
      <c r="E51" s="78">
        <f>600-430</f>
        <v>170</v>
      </c>
      <c r="F51" s="79"/>
      <c r="G51" s="50">
        <f t="shared" si="8"/>
      </c>
      <c r="I51" s="447"/>
      <c r="J51" s="92" t="s">
        <v>63</v>
      </c>
      <c r="K51" s="102" t="s">
        <v>139</v>
      </c>
      <c r="L51" s="91"/>
      <c r="M51" s="95"/>
      <c r="N51" s="91">
        <f t="shared" si="9"/>
      </c>
      <c r="O51" s="23"/>
      <c r="P51" s="24">
        <f t="shared" si="6"/>
      </c>
    </row>
    <row r="52" spans="2:16" ht="12.75" customHeight="1">
      <c r="B52" s="46"/>
      <c r="C52" s="46"/>
      <c r="D52" s="377" t="s">
        <v>248</v>
      </c>
      <c r="E52" s="344">
        <v>600</v>
      </c>
      <c r="F52" s="101"/>
      <c r="G52" s="50">
        <f t="shared" si="8"/>
      </c>
      <c r="I52" s="447"/>
      <c r="J52" s="92" t="s">
        <v>63</v>
      </c>
      <c r="K52" s="99" t="s">
        <v>80</v>
      </c>
      <c r="L52" s="106">
        <v>338.9</v>
      </c>
      <c r="M52" s="95"/>
      <c r="N52" s="91">
        <f t="shared" si="9"/>
      </c>
      <c r="O52" s="23">
        <v>1.23</v>
      </c>
      <c r="P52" s="24">
        <f t="shared" si="6"/>
      </c>
    </row>
    <row r="53" spans="2:16" ht="12.75" customHeight="1">
      <c r="B53" s="46"/>
      <c r="C53" s="46"/>
      <c r="D53" s="96" t="s">
        <v>126</v>
      </c>
      <c r="E53" s="78"/>
      <c r="F53" s="79"/>
      <c r="G53" s="50">
        <f t="shared" si="8"/>
      </c>
      <c r="I53" s="447"/>
      <c r="J53" s="92" t="s">
        <v>63</v>
      </c>
      <c r="K53" s="99" t="s">
        <v>229</v>
      </c>
      <c r="L53" s="91">
        <v>129</v>
      </c>
      <c r="M53" s="95"/>
      <c r="N53" s="91">
        <f t="shared" si="9"/>
      </c>
      <c r="O53" s="23">
        <v>0.38</v>
      </c>
      <c r="P53" s="24">
        <f t="shared" si="6"/>
      </c>
    </row>
    <row r="54" spans="1:16" ht="12.75" customHeight="1">
      <c r="A54" s="107"/>
      <c r="B54" s="46"/>
      <c r="C54" s="46"/>
      <c r="D54" s="377" t="s">
        <v>123</v>
      </c>
      <c r="E54" s="100"/>
      <c r="F54" s="101"/>
      <c r="G54" s="50">
        <f t="shared" si="8"/>
      </c>
      <c r="I54" s="447"/>
      <c r="J54" s="92" t="s">
        <v>63</v>
      </c>
      <c r="K54" s="99" t="s">
        <v>81</v>
      </c>
      <c r="L54" s="91"/>
      <c r="M54" s="95">
        <v>1</v>
      </c>
      <c r="N54" s="91">
        <f t="shared" si="9"/>
      </c>
      <c r="O54" s="23">
        <v>1</v>
      </c>
      <c r="P54" s="24">
        <f t="shared" si="6"/>
        <v>1</v>
      </c>
    </row>
    <row r="55" spans="1:16" ht="12.75" customHeight="1">
      <c r="A55" s="4"/>
      <c r="B55" s="345"/>
      <c r="C55" s="345"/>
      <c r="D55" s="377" t="s">
        <v>124</v>
      </c>
      <c r="E55" s="100"/>
      <c r="F55" s="101"/>
      <c r="G55" s="50">
        <f t="shared" si="8"/>
      </c>
      <c r="I55" s="447"/>
      <c r="J55" s="92" t="s">
        <v>63</v>
      </c>
      <c r="K55" s="102" t="s">
        <v>82</v>
      </c>
      <c r="L55" s="91"/>
      <c r="M55" s="95"/>
      <c r="N55" s="91">
        <f t="shared" si="9"/>
      </c>
      <c r="O55" s="23"/>
      <c r="P55" s="24">
        <f t="shared" si="6"/>
      </c>
    </row>
    <row r="56" spans="1:16" ht="12.75" customHeight="1">
      <c r="A56" s="107"/>
      <c r="B56" s="108"/>
      <c r="C56" s="108"/>
      <c r="D56" s="377" t="s">
        <v>125</v>
      </c>
      <c r="E56" s="104">
        <v>3500</v>
      </c>
      <c r="F56" s="105"/>
      <c r="G56" s="50">
        <f t="shared" si="8"/>
      </c>
      <c r="I56" s="447"/>
      <c r="J56" s="92"/>
      <c r="K56" s="99" t="s">
        <v>83</v>
      </c>
      <c r="L56" s="106">
        <v>47.5</v>
      </c>
      <c r="M56" s="95">
        <v>1</v>
      </c>
      <c r="N56" s="91">
        <f t="shared" si="9"/>
        <v>47.5</v>
      </c>
      <c r="O56" s="23">
        <v>0.38</v>
      </c>
      <c r="P56" s="24">
        <f t="shared" si="6"/>
        <v>0.38</v>
      </c>
    </row>
    <row r="57" spans="1:16" ht="12.75" customHeight="1">
      <c r="A57" s="107"/>
      <c r="B57" s="46"/>
      <c r="C57" s="46"/>
      <c r="D57" s="96" t="s">
        <v>127</v>
      </c>
      <c r="E57" s="48"/>
      <c r="F57" s="52"/>
      <c r="G57" s="50">
        <f t="shared" si="8"/>
      </c>
      <c r="I57" s="447"/>
      <c r="J57" s="92"/>
      <c r="K57" s="99" t="s">
        <v>84</v>
      </c>
      <c r="L57" s="91">
        <v>379</v>
      </c>
      <c r="M57" s="95"/>
      <c r="N57" s="91">
        <f t="shared" si="9"/>
      </c>
      <c r="O57" s="23">
        <v>0.56</v>
      </c>
      <c r="P57" s="24">
        <f t="shared" si="6"/>
      </c>
    </row>
    <row r="58" spans="2:16" ht="12.75" customHeight="1">
      <c r="B58" s="46"/>
      <c r="C58" s="46"/>
      <c r="D58" s="377" t="s">
        <v>136</v>
      </c>
      <c r="E58" s="48"/>
      <c r="F58" s="52"/>
      <c r="G58" s="50">
        <f t="shared" si="8"/>
      </c>
      <c r="I58" s="447"/>
      <c r="J58" s="92"/>
      <c r="K58" s="99" t="s">
        <v>85</v>
      </c>
      <c r="L58" s="91">
        <v>12</v>
      </c>
      <c r="M58" s="95">
        <v>1</v>
      </c>
      <c r="N58" s="91">
        <f t="shared" si="9"/>
        <v>12</v>
      </c>
      <c r="O58" s="23">
        <v>1.2</v>
      </c>
      <c r="P58" s="24">
        <f t="shared" si="6"/>
        <v>1.2</v>
      </c>
    </row>
    <row r="59" spans="2:16" ht="12.75" customHeight="1">
      <c r="B59" s="346"/>
      <c r="C59" s="112"/>
      <c r="D59" s="377" t="s">
        <v>142</v>
      </c>
      <c r="E59" s="48"/>
      <c r="F59" s="52"/>
      <c r="G59" s="50">
        <f t="shared" si="8"/>
      </c>
      <c r="I59" s="447"/>
      <c r="J59" s="92"/>
      <c r="K59" s="99" t="s">
        <v>172</v>
      </c>
      <c r="L59" s="103">
        <v>11.9</v>
      </c>
      <c r="M59" s="95">
        <v>1</v>
      </c>
      <c r="N59" s="91">
        <f t="shared" si="9"/>
        <v>11.9</v>
      </c>
      <c r="O59" s="23">
        <v>1.4</v>
      </c>
      <c r="P59" s="24">
        <f t="shared" si="6"/>
        <v>1.4</v>
      </c>
    </row>
    <row r="60" spans="2:16" ht="12.75" customHeight="1">
      <c r="B60" s="347"/>
      <c r="C60" s="31"/>
      <c r="D60" s="377" t="s">
        <v>137</v>
      </c>
      <c r="E60" s="48">
        <v>2305</v>
      </c>
      <c r="F60" s="52"/>
      <c r="G60" s="50">
        <f t="shared" si="8"/>
      </c>
      <c r="I60" s="447"/>
      <c r="J60" s="92"/>
      <c r="K60" s="115" t="s">
        <v>92</v>
      </c>
      <c r="L60" s="116">
        <v>356.9</v>
      </c>
      <c r="M60" s="95"/>
      <c r="N60" s="91">
        <f t="shared" si="9"/>
      </c>
      <c r="O60" s="23"/>
      <c r="P60" s="24">
        <f t="shared" si="6"/>
      </c>
    </row>
    <row r="61" spans="2:16" ht="12.75" customHeight="1">
      <c r="B61" s="348"/>
      <c r="D61" s="379" t="s">
        <v>121</v>
      </c>
      <c r="E61" s="48">
        <v>1355</v>
      </c>
      <c r="F61" s="52"/>
      <c r="G61" s="50">
        <f t="shared" si="8"/>
      </c>
      <c r="I61" s="447"/>
      <c r="J61" s="92"/>
      <c r="K61" s="115" t="s">
        <v>173</v>
      </c>
      <c r="L61" s="116">
        <v>724.9</v>
      </c>
      <c r="M61" s="117"/>
      <c r="N61" s="91">
        <f>IF(AND(K61&gt;0,L61&gt;0,M61&gt;0),L61*M61,"")</f>
      </c>
      <c r="O61" s="23"/>
      <c r="P61" s="24">
        <f t="shared" si="6"/>
      </c>
    </row>
    <row r="62" spans="2:16" s="4" customFormat="1" ht="12.75" customHeight="1">
      <c r="B62" s="349"/>
      <c r="C62" s="118"/>
      <c r="D62" s="379" t="s">
        <v>141</v>
      </c>
      <c r="E62" s="109">
        <v>717.95</v>
      </c>
      <c r="F62" s="110">
        <v>1</v>
      </c>
      <c r="G62" s="50">
        <f t="shared" si="8"/>
        <v>717.95</v>
      </c>
      <c r="H62" s="119"/>
      <c r="I62" s="447"/>
      <c r="J62" s="120"/>
      <c r="K62" s="115" t="s">
        <v>174</v>
      </c>
      <c r="L62" s="94">
        <v>1219</v>
      </c>
      <c r="M62" s="117">
        <v>1</v>
      </c>
      <c r="N62" s="116">
        <f>IF(AND(K62&gt;0,L62&gt;0,M62&gt;0),L62*M62,"")</f>
        <v>1219</v>
      </c>
      <c r="O62" s="23"/>
      <c r="P62" s="24">
        <f t="shared" si="6"/>
      </c>
    </row>
    <row r="63" spans="2:16" s="4" customFormat="1" ht="12.75" customHeight="1">
      <c r="B63" s="349"/>
      <c r="C63" s="118"/>
      <c r="D63" s="111" t="s">
        <v>122</v>
      </c>
      <c r="E63" s="109">
        <v>215</v>
      </c>
      <c r="F63" s="110"/>
      <c r="G63" s="431">
        <f t="shared" si="8"/>
      </c>
      <c r="H63" s="121"/>
      <c r="I63" s="447"/>
      <c r="J63" s="120"/>
      <c r="K63" s="93" t="s">
        <v>134</v>
      </c>
      <c r="L63" s="94"/>
      <c r="M63" s="117"/>
      <c r="N63" s="116">
        <f>IF(AND(K63&gt;0,L63&gt;0,M63&gt;0),L63*M63,"")</f>
      </c>
      <c r="O63" s="23"/>
      <c r="P63" s="24">
        <f t="shared" si="6"/>
      </c>
    </row>
    <row r="64" spans="2:16" s="4" customFormat="1" ht="12.75" customHeight="1">
      <c r="B64" s="348"/>
      <c r="D64" s="432" t="s">
        <v>251</v>
      </c>
      <c r="E64" s="66">
        <v>429</v>
      </c>
      <c r="F64" s="105"/>
      <c r="G64" s="433">
        <f t="shared" si="8"/>
      </c>
      <c r="H64" s="122"/>
      <c r="I64" s="447"/>
      <c r="J64" s="120"/>
      <c r="K64" s="115"/>
      <c r="L64" s="116"/>
      <c r="M64" s="117"/>
      <c r="N64" s="89">
        <f>IF(AND(K64&gt;0,L64&gt;0,M64&gt;0),L64*M64,"")</f>
      </c>
      <c r="O64" s="23"/>
      <c r="P64" s="24">
        <f t="shared" si="6"/>
      </c>
    </row>
    <row r="65" spans="2:16" s="4" customFormat="1" ht="12.75" customHeight="1">
      <c r="B65" s="434"/>
      <c r="D65" s="432" t="s">
        <v>252</v>
      </c>
      <c r="E65" s="66">
        <v>559</v>
      </c>
      <c r="F65" s="49">
        <v>1</v>
      </c>
      <c r="G65" s="50">
        <f t="shared" si="8"/>
        <v>559</v>
      </c>
      <c r="H65" s="123"/>
      <c r="I65" s="447"/>
      <c r="J65" s="120"/>
      <c r="K65" s="93"/>
      <c r="L65" s="94"/>
      <c r="M65" s="117"/>
      <c r="N65" s="124">
        <f>IF(AND(K65&gt;0,L65&gt;0,M65&gt;0),L65*M65,"")</f>
      </c>
      <c r="O65" s="23"/>
      <c r="P65" s="24">
        <f t="shared" si="6"/>
      </c>
    </row>
    <row r="66" spans="2:16" s="4" customFormat="1" ht="12.75" customHeight="1">
      <c r="B66" s="434"/>
      <c r="D66" s="114" t="s">
        <v>250</v>
      </c>
      <c r="E66" s="66"/>
      <c r="F66" s="49"/>
      <c r="G66" s="50">
        <f>IF(F66&gt;0,E66*F66,"")</f>
      </c>
      <c r="H66" s="121"/>
      <c r="I66" s="446" t="str">
        <f>"Pack électrique: "&amp;ROUNDUP(SUM(N66:N76),0.5)&amp;" €"</f>
        <v>Pack électrique: 1466 €</v>
      </c>
      <c r="J66" s="125"/>
      <c r="K66" s="126" t="s">
        <v>190</v>
      </c>
      <c r="L66" s="127">
        <v>239</v>
      </c>
      <c r="M66" s="128">
        <v>1</v>
      </c>
      <c r="N66" s="129">
        <f aca="true" t="shared" si="10" ref="N66:N95">IF(AND(K66&gt;0,L66&gt;0,M66&gt;0),L66*M66,"")</f>
        <v>239</v>
      </c>
      <c r="O66" s="23">
        <v>28</v>
      </c>
      <c r="P66" s="24">
        <f t="shared" si="6"/>
        <v>28</v>
      </c>
    </row>
    <row r="67" spans="2:16" s="4" customFormat="1" ht="12.75" customHeight="1">
      <c r="B67" s="434"/>
      <c r="D67" s="111" t="s">
        <v>122</v>
      </c>
      <c r="E67" s="109">
        <v>215</v>
      </c>
      <c r="F67" s="49">
        <v>1</v>
      </c>
      <c r="G67" s="50">
        <f>IF(F67&gt;0,E67*F67,"")</f>
        <v>215</v>
      </c>
      <c r="H67" s="123"/>
      <c r="I67" s="446"/>
      <c r="J67" s="125"/>
      <c r="K67" s="126" t="s">
        <v>146</v>
      </c>
      <c r="L67" s="127">
        <v>326</v>
      </c>
      <c r="M67" s="130">
        <v>1</v>
      </c>
      <c r="N67" s="129">
        <f t="shared" si="10"/>
        <v>326</v>
      </c>
      <c r="O67" s="23">
        <v>1</v>
      </c>
      <c r="P67" s="24">
        <f t="shared" si="6"/>
        <v>1</v>
      </c>
    </row>
    <row r="68" spans="2:16" s="4" customFormat="1" ht="12.75" customHeight="1">
      <c r="B68" s="434"/>
      <c r="D68" s="114"/>
      <c r="E68" s="66"/>
      <c r="F68" s="49"/>
      <c r="G68" s="50">
        <f>IF(F68&gt;0,E68*F68,"")</f>
      </c>
      <c r="H68" s="121">
        <f>SUM(H69:H74)</f>
        <v>242428.32298136648</v>
      </c>
      <c r="I68" s="446"/>
      <c r="J68" s="125"/>
      <c r="K68" s="131" t="s">
        <v>147</v>
      </c>
      <c r="L68" s="132">
        <v>639</v>
      </c>
      <c r="M68" s="130">
        <v>1</v>
      </c>
      <c r="N68" s="129">
        <f t="shared" si="10"/>
        <v>639</v>
      </c>
      <c r="O68" s="23">
        <v>1</v>
      </c>
      <c r="P68" s="24">
        <f t="shared" si="6"/>
        <v>1</v>
      </c>
    </row>
    <row r="69" spans="2:16" s="4" customFormat="1" ht="12.75" customHeight="1">
      <c r="B69" s="348"/>
      <c r="D69" s="113" t="s">
        <v>16</v>
      </c>
      <c r="E69" s="48"/>
      <c r="F69" s="52"/>
      <c r="G69" s="50">
        <f>IF(F69&gt;0,E69*F69,"")</f>
      </c>
      <c r="H69" s="122"/>
      <c r="I69" s="446"/>
      <c r="J69" s="125"/>
      <c r="K69" s="131" t="s">
        <v>148</v>
      </c>
      <c r="L69" s="132">
        <v>69.9</v>
      </c>
      <c r="M69" s="130">
        <v>1</v>
      </c>
      <c r="N69" s="129">
        <f t="shared" si="10"/>
        <v>69.9</v>
      </c>
      <c r="O69" s="23">
        <v>0.3</v>
      </c>
      <c r="P69" s="24">
        <f t="shared" si="6"/>
        <v>0.3</v>
      </c>
    </row>
    <row r="70" spans="2:16" s="4" customFormat="1" ht="12.75" customHeight="1">
      <c r="B70" s="348"/>
      <c r="D70" s="114"/>
      <c r="E70" s="66"/>
      <c r="F70" s="49"/>
      <c r="G70" s="50">
        <f>IF(F70&gt;0,E70*F70,"")</f>
      </c>
      <c r="H70" s="123"/>
      <c r="I70" s="446"/>
      <c r="J70" s="125"/>
      <c r="K70" s="131" t="s">
        <v>86</v>
      </c>
      <c r="L70" s="132">
        <v>9.7</v>
      </c>
      <c r="M70" s="130">
        <v>1</v>
      </c>
      <c r="N70" s="129">
        <f t="shared" si="10"/>
        <v>9.7</v>
      </c>
      <c r="O70" s="23">
        <v>0.25</v>
      </c>
      <c r="P70" s="24">
        <f t="shared" si="6"/>
        <v>0.25</v>
      </c>
    </row>
    <row r="71" spans="2:16" ht="12.75" customHeight="1">
      <c r="B71" s="4"/>
      <c r="C71" s="4"/>
      <c r="D71" s="350" t="s">
        <v>224</v>
      </c>
      <c r="E71" s="351"/>
      <c r="F71" s="352"/>
      <c r="G71" s="353">
        <f>IF(E71&gt;0,E71*F71,IF(E71&lt;0,-ABS(E71)*F71,""))</f>
      </c>
      <c r="H71" s="121"/>
      <c r="I71" s="446"/>
      <c r="J71" s="125"/>
      <c r="K71" s="131" t="s">
        <v>87</v>
      </c>
      <c r="L71" s="132">
        <v>8.7</v>
      </c>
      <c r="M71" s="130">
        <v>1</v>
      </c>
      <c r="N71" s="129">
        <f t="shared" si="10"/>
        <v>8.7</v>
      </c>
      <c r="O71" s="23">
        <v>0.18</v>
      </c>
      <c r="P71" s="24">
        <f t="shared" si="6"/>
        <v>0.18</v>
      </c>
    </row>
    <row r="72" spans="2:16" ht="12.75" customHeight="1">
      <c r="B72" s="4"/>
      <c r="C72" s="4"/>
      <c r="D72" s="354" t="s">
        <v>225</v>
      </c>
      <c r="E72" s="355"/>
      <c r="F72" s="356"/>
      <c r="G72" s="357"/>
      <c r="H72" s="123"/>
      <c r="I72" s="446"/>
      <c r="J72" s="125"/>
      <c r="K72" s="131" t="s">
        <v>88</v>
      </c>
      <c r="L72" s="132">
        <v>10.2</v>
      </c>
      <c r="M72" s="130">
        <v>1</v>
      </c>
      <c r="N72" s="129">
        <f t="shared" si="10"/>
        <v>10.2</v>
      </c>
      <c r="O72" s="23">
        <v>0.38</v>
      </c>
      <c r="P72" s="24">
        <f t="shared" si="6"/>
        <v>0.38</v>
      </c>
    </row>
    <row r="73" spans="2:16" ht="12.75" customHeight="1">
      <c r="B73" s="4"/>
      <c r="C73" s="4"/>
      <c r="D73" s="358" t="s">
        <v>226</v>
      </c>
      <c r="E73" s="359">
        <f>SUM(E74:E79)</f>
        <v>286</v>
      </c>
      <c r="F73" s="360">
        <f>E73/(ROUNDDOWN(H73/3600,0))</f>
        <v>4.612903225806452</v>
      </c>
      <c r="G73" s="361" t="str">
        <f aca="true" t="shared" si="11" ref="G73:G79">ROUNDDOWN(H73/3600,0)&amp;"h "&amp;ROUNDDOWN(MOD(H73,3600)/60,0)&amp;"mn"</f>
        <v>62h 33mn</v>
      </c>
      <c r="H73" s="121">
        <f>SUM(H74:H79)</f>
        <v>225210.93167701864</v>
      </c>
      <c r="I73" s="446"/>
      <c r="J73" s="125"/>
      <c r="K73" s="131" t="s">
        <v>89</v>
      </c>
      <c r="L73" s="132">
        <v>98.9</v>
      </c>
      <c r="M73" s="130">
        <v>1</v>
      </c>
      <c r="N73" s="129">
        <f t="shared" si="10"/>
        <v>98.9</v>
      </c>
      <c r="O73" s="23">
        <v>0.4</v>
      </c>
      <c r="P73" s="24">
        <f t="shared" si="6"/>
        <v>0.4</v>
      </c>
    </row>
    <row r="74" spans="2:16" ht="12.75" customHeight="1">
      <c r="B74" s="4"/>
      <c r="C74" s="4"/>
      <c r="D74" s="362" t="s">
        <v>51</v>
      </c>
      <c r="E74" s="363">
        <f>4/46*286</f>
        <v>24.869565217391305</v>
      </c>
      <c r="F74" s="364">
        <v>5.2</v>
      </c>
      <c r="G74" s="365" t="str">
        <f t="shared" si="11"/>
        <v>4h 46mn</v>
      </c>
      <c r="H74" s="123">
        <f aca="true" t="shared" si="12" ref="H74:H79">(E74/F74)*3600</f>
        <v>17217.391304347824</v>
      </c>
      <c r="I74" s="446"/>
      <c r="J74" s="125"/>
      <c r="K74" s="131" t="s">
        <v>90</v>
      </c>
      <c r="L74" s="132">
        <v>1.87</v>
      </c>
      <c r="M74" s="130">
        <v>1</v>
      </c>
      <c r="N74" s="129">
        <f t="shared" si="10"/>
        <v>1.87</v>
      </c>
      <c r="O74" s="23">
        <v>0.45</v>
      </c>
      <c r="P74" s="24">
        <f t="shared" si="6"/>
        <v>0.45</v>
      </c>
    </row>
    <row r="75" spans="2:16" ht="12.75" customHeight="1">
      <c r="B75" s="4"/>
      <c r="C75" s="4"/>
      <c r="D75" s="366" t="s">
        <v>52</v>
      </c>
      <c r="E75" s="363">
        <f>8/46*286</f>
        <v>49.73913043478261</v>
      </c>
      <c r="F75" s="364">
        <v>6</v>
      </c>
      <c r="G75" s="367" t="str">
        <f t="shared" si="11"/>
        <v>8h 17mn</v>
      </c>
      <c r="H75" s="123">
        <f t="shared" si="12"/>
        <v>29843.478260869564</v>
      </c>
      <c r="I75" s="446"/>
      <c r="J75" s="125"/>
      <c r="K75" s="131" t="s">
        <v>91</v>
      </c>
      <c r="L75" s="132">
        <v>11.9</v>
      </c>
      <c r="M75" s="130">
        <v>1</v>
      </c>
      <c r="N75" s="129">
        <f t="shared" si="10"/>
        <v>11.9</v>
      </c>
      <c r="O75" s="23">
        <v>0.04</v>
      </c>
      <c r="P75" s="24">
        <f t="shared" si="6"/>
        <v>0.04</v>
      </c>
    </row>
    <row r="76" spans="2:16" ht="12.75" customHeight="1">
      <c r="B76" s="4"/>
      <c r="C76" s="4"/>
      <c r="D76" s="368" t="s">
        <v>47</v>
      </c>
      <c r="E76" s="363">
        <f>8/46*286</f>
        <v>49.73913043478261</v>
      </c>
      <c r="F76" s="364">
        <v>5.5</v>
      </c>
      <c r="G76" s="367" t="str">
        <f t="shared" si="11"/>
        <v>9h 2mn</v>
      </c>
      <c r="H76" s="123">
        <f t="shared" si="12"/>
        <v>32556.521739130432</v>
      </c>
      <c r="I76" s="446"/>
      <c r="J76" s="125"/>
      <c r="K76" s="131" t="s">
        <v>249</v>
      </c>
      <c r="L76" s="132">
        <v>50</v>
      </c>
      <c r="M76" s="130">
        <v>1</v>
      </c>
      <c r="N76" s="129">
        <f t="shared" si="10"/>
        <v>50</v>
      </c>
      <c r="O76" s="23">
        <v>1.23</v>
      </c>
      <c r="P76" s="24">
        <f t="shared" si="6"/>
        <v>1.23</v>
      </c>
    </row>
    <row r="77" spans="2:16" ht="12.75" customHeight="1">
      <c r="B77" s="4"/>
      <c r="C77" s="4"/>
      <c r="D77" s="368" t="s">
        <v>48</v>
      </c>
      <c r="E77" s="363">
        <f>10/46*286</f>
        <v>62.17391304347826</v>
      </c>
      <c r="F77" s="364">
        <v>2.8</v>
      </c>
      <c r="G77" s="367" t="str">
        <f t="shared" si="11"/>
        <v>22h 12mn</v>
      </c>
      <c r="H77" s="123">
        <f t="shared" si="12"/>
        <v>79937.88819875778</v>
      </c>
      <c r="I77" s="136"/>
      <c r="J77" s="137"/>
      <c r="K77" s="138"/>
      <c r="L77" s="139"/>
      <c r="M77" s="140"/>
      <c r="N77" s="141">
        <f t="shared" si="10"/>
      </c>
      <c r="O77" s="23"/>
      <c r="P77" s="24">
        <f t="shared" si="6"/>
      </c>
    </row>
    <row r="78" spans="4:16" ht="12.75" customHeight="1">
      <c r="D78" s="368" t="s">
        <v>49</v>
      </c>
      <c r="E78" s="363">
        <f>8/46*286</f>
        <v>49.73913043478261</v>
      </c>
      <c r="F78" s="364">
        <v>6</v>
      </c>
      <c r="G78" s="367" t="str">
        <f t="shared" si="11"/>
        <v>8h 17mn</v>
      </c>
      <c r="H78" s="123">
        <f t="shared" si="12"/>
        <v>29843.478260869564</v>
      </c>
      <c r="I78" s="136"/>
      <c r="J78" s="137"/>
      <c r="K78" s="138"/>
      <c r="L78" s="139"/>
      <c r="M78" s="140"/>
      <c r="N78" s="141">
        <f t="shared" si="10"/>
      </c>
      <c r="O78" s="23"/>
      <c r="P78" s="24">
        <f t="shared" si="6"/>
      </c>
    </row>
    <row r="79" spans="4:16" ht="12.75" customHeight="1">
      <c r="D79" s="369" t="s">
        <v>50</v>
      </c>
      <c r="E79" s="363">
        <f>8/46*286</f>
        <v>49.73913043478261</v>
      </c>
      <c r="F79" s="364">
        <v>5</v>
      </c>
      <c r="G79" s="370" t="str">
        <f t="shared" si="11"/>
        <v>9h 56mn</v>
      </c>
      <c r="H79" s="133">
        <f t="shared" si="12"/>
        <v>35812.17391304347</v>
      </c>
      <c r="I79" s="136"/>
      <c r="J79" s="137"/>
      <c r="K79" s="138" t="s">
        <v>151</v>
      </c>
      <c r="L79" s="139"/>
      <c r="M79" s="140">
        <v>12</v>
      </c>
      <c r="N79" s="141">
        <f t="shared" si="10"/>
      </c>
      <c r="O79" s="23">
        <v>1.6</v>
      </c>
      <c r="P79" s="24">
        <f t="shared" si="6"/>
        <v>19.200000000000003</v>
      </c>
    </row>
    <row r="80" spans="4:16" ht="12.75" customHeight="1">
      <c r="D80" s="371"/>
      <c r="E80" s="372"/>
      <c r="F80" s="373"/>
      <c r="G80" s="372"/>
      <c r="I80" s="136"/>
      <c r="J80" s="137"/>
      <c r="K80" s="138" t="s">
        <v>152</v>
      </c>
      <c r="L80" s="139"/>
      <c r="M80" s="140"/>
      <c r="N80" s="141">
        <f t="shared" si="10"/>
      </c>
      <c r="O80" s="23">
        <v>14</v>
      </c>
      <c r="P80" s="24">
        <f t="shared" si="6"/>
      </c>
    </row>
    <row r="81" spans="4:16" ht="12.75" customHeight="1">
      <c r="D81" s="374"/>
      <c r="E81" s="375"/>
      <c r="F81" s="376"/>
      <c r="G81" s="375"/>
      <c r="I81" s="136"/>
      <c r="J81" s="137"/>
      <c r="K81" s="138" t="s">
        <v>153</v>
      </c>
      <c r="L81" s="139"/>
      <c r="M81" s="140">
        <v>8</v>
      </c>
      <c r="N81" s="141">
        <f t="shared" si="10"/>
      </c>
      <c r="O81" s="23">
        <v>0.28</v>
      </c>
      <c r="P81" s="24">
        <f t="shared" si="6"/>
        <v>2.24</v>
      </c>
    </row>
    <row r="82" spans="4:16" ht="12.75" customHeight="1">
      <c r="D82" s="371"/>
      <c r="E82" s="375"/>
      <c r="F82" s="376"/>
      <c r="G82" s="375"/>
      <c r="I82" s="136"/>
      <c r="J82" s="137"/>
      <c r="K82" s="142" t="s">
        <v>154</v>
      </c>
      <c r="L82" s="143"/>
      <c r="M82" s="140">
        <v>1</v>
      </c>
      <c r="N82" s="141">
        <f t="shared" si="10"/>
      </c>
      <c r="O82" s="23">
        <v>3.5</v>
      </c>
      <c r="P82" s="24">
        <f t="shared" si="6"/>
        <v>3.5</v>
      </c>
    </row>
    <row r="83" spans="4:16" ht="12.75" customHeight="1">
      <c r="D83" s="371" t="s">
        <v>227</v>
      </c>
      <c r="E83" s="375"/>
      <c r="F83" s="376"/>
      <c r="G83" s="375"/>
      <c r="I83" s="136"/>
      <c r="J83" s="137"/>
      <c r="K83" s="142" t="s">
        <v>155</v>
      </c>
      <c r="L83" s="143"/>
      <c r="M83" s="140">
        <v>2</v>
      </c>
      <c r="N83" s="141">
        <f t="shared" si="10"/>
      </c>
      <c r="O83" s="23">
        <v>1</v>
      </c>
      <c r="P83" s="24">
        <f t="shared" si="6"/>
        <v>2</v>
      </c>
    </row>
    <row r="84" spans="4:16" ht="12.75" customHeight="1">
      <c r="D84" s="374" t="s">
        <v>228</v>
      </c>
      <c r="E84" s="375"/>
      <c r="F84" s="376"/>
      <c r="G84" s="375"/>
      <c r="I84" s="136"/>
      <c r="J84" s="137"/>
      <c r="K84" s="142" t="s">
        <v>156</v>
      </c>
      <c r="L84" s="143"/>
      <c r="M84" s="140">
        <v>1</v>
      </c>
      <c r="N84" s="141">
        <f t="shared" si="10"/>
      </c>
      <c r="O84" s="23">
        <v>1</v>
      </c>
      <c r="P84" s="24">
        <f t="shared" si="6"/>
        <v>1</v>
      </c>
    </row>
    <row r="85" spans="4:16" ht="12.75" customHeight="1">
      <c r="D85" s="65"/>
      <c r="I85" s="136"/>
      <c r="J85" s="137"/>
      <c r="K85" s="142" t="s">
        <v>157</v>
      </c>
      <c r="L85" s="143"/>
      <c r="M85" s="140">
        <v>6</v>
      </c>
      <c r="N85" s="141">
        <f t="shared" si="10"/>
      </c>
      <c r="O85" s="23">
        <v>1.01</v>
      </c>
      <c r="P85" s="24">
        <f t="shared" si="6"/>
        <v>6.0600000000000005</v>
      </c>
    </row>
    <row r="86" spans="4:16" ht="12.75" customHeight="1">
      <c r="D86" s="65"/>
      <c r="I86" s="136"/>
      <c r="J86" s="137"/>
      <c r="K86" s="142" t="s">
        <v>158</v>
      </c>
      <c r="L86" s="143"/>
      <c r="M86" s="140">
        <v>1</v>
      </c>
      <c r="N86" s="141">
        <f t="shared" si="10"/>
      </c>
      <c r="O86" s="23">
        <v>6</v>
      </c>
      <c r="P86" s="24">
        <f t="shared" si="6"/>
        <v>6</v>
      </c>
    </row>
    <row r="87" spans="4:16" ht="12.75">
      <c r="D87" s="65"/>
      <c r="I87" s="136"/>
      <c r="J87" s="137"/>
      <c r="K87" s="142" t="s">
        <v>159</v>
      </c>
      <c r="L87" s="143"/>
      <c r="M87" s="140">
        <v>1</v>
      </c>
      <c r="N87" s="141">
        <f t="shared" si="10"/>
      </c>
      <c r="O87" s="23">
        <v>5</v>
      </c>
      <c r="P87" s="24">
        <f t="shared" si="6"/>
        <v>5</v>
      </c>
    </row>
    <row r="88" spans="4:16" ht="12.75">
      <c r="D88" s="65"/>
      <c r="I88" s="136"/>
      <c r="J88" s="137"/>
      <c r="K88" s="142"/>
      <c r="L88" s="143"/>
      <c r="M88" s="140"/>
      <c r="N88" s="141">
        <f t="shared" si="10"/>
      </c>
      <c r="O88" s="23"/>
      <c r="P88" s="24">
        <f t="shared" si="6"/>
      </c>
    </row>
    <row r="89" spans="4:16" ht="12.75">
      <c r="D89" s="65"/>
      <c r="I89" s="136"/>
      <c r="J89" s="137"/>
      <c r="K89" s="142"/>
      <c r="L89" s="143"/>
      <c r="M89" s="140"/>
      <c r="N89" s="141">
        <f t="shared" si="10"/>
      </c>
      <c r="O89" s="23"/>
      <c r="P89" s="24">
        <f t="shared" si="6"/>
      </c>
    </row>
    <row r="90" spans="4:16" ht="12.75">
      <c r="D90" s="65"/>
      <c r="I90" s="136"/>
      <c r="J90" s="137"/>
      <c r="K90" s="142"/>
      <c r="L90" s="143"/>
      <c r="M90" s="140"/>
      <c r="N90" s="141">
        <f t="shared" si="10"/>
      </c>
      <c r="O90" s="23"/>
      <c r="P90" s="24">
        <f t="shared" si="6"/>
      </c>
    </row>
    <row r="91" spans="4:16" ht="12.75">
      <c r="D91" s="65"/>
      <c r="I91" s="136"/>
      <c r="J91" s="137"/>
      <c r="K91" s="142"/>
      <c r="L91" s="143"/>
      <c r="M91" s="140"/>
      <c r="N91" s="141">
        <f t="shared" si="10"/>
      </c>
      <c r="O91" s="23"/>
      <c r="P91" s="24">
        <f t="shared" si="6"/>
      </c>
    </row>
    <row r="92" spans="4:16" ht="12.75">
      <c r="D92" s="65"/>
      <c r="I92" s="136"/>
      <c r="J92" s="137"/>
      <c r="K92" s="142"/>
      <c r="L92" s="143"/>
      <c r="M92" s="140"/>
      <c r="N92" s="141">
        <f t="shared" si="10"/>
      </c>
      <c r="O92" s="23"/>
      <c r="P92" s="24">
        <f t="shared" si="6"/>
      </c>
    </row>
    <row r="93" spans="4:16" ht="12.75">
      <c r="D93" s="65"/>
      <c r="I93" s="136"/>
      <c r="J93" s="137"/>
      <c r="K93" s="142"/>
      <c r="L93" s="143"/>
      <c r="M93" s="140"/>
      <c r="N93" s="141">
        <f t="shared" si="10"/>
      </c>
      <c r="O93" s="23"/>
      <c r="P93" s="24">
        <f t="shared" si="6"/>
      </c>
    </row>
    <row r="94" spans="4:16" ht="16.5">
      <c r="D94" s="65"/>
      <c r="J94" s="137"/>
      <c r="K94" s="142"/>
      <c r="L94" s="143"/>
      <c r="M94" s="140"/>
      <c r="N94" s="141">
        <f t="shared" si="10"/>
      </c>
      <c r="O94" s="23"/>
      <c r="P94" s="24">
        <f t="shared" si="6"/>
      </c>
    </row>
    <row r="95" spans="4:16" ht="16.5">
      <c r="D95" s="65"/>
      <c r="J95" s="137"/>
      <c r="K95" s="142"/>
      <c r="L95" s="143"/>
      <c r="M95" s="144"/>
      <c r="N95" s="143">
        <f t="shared" si="10"/>
      </c>
      <c r="O95" s="145"/>
      <c r="P95" s="146">
        <f t="shared" si="6"/>
      </c>
    </row>
    <row r="96" ht="27.75" customHeight="1">
      <c r="D96" s="65"/>
    </row>
    <row r="97" ht="16.5">
      <c r="D97" s="65"/>
    </row>
    <row r="98" ht="16.5">
      <c r="D98" s="65"/>
    </row>
    <row r="99" ht="16.5">
      <c r="D99" s="65"/>
    </row>
    <row r="100" ht="16.5">
      <c r="D100" s="65"/>
    </row>
    <row r="101" ht="16.5">
      <c r="D101" s="65"/>
    </row>
    <row r="102" ht="16.5">
      <c r="D102" s="65"/>
    </row>
  </sheetData>
  <sheetProtection/>
  <mergeCells count="9">
    <mergeCell ref="E1:F1"/>
    <mergeCell ref="H13:H14"/>
    <mergeCell ref="D9:E9"/>
    <mergeCell ref="D31:E31"/>
    <mergeCell ref="I66:I76"/>
    <mergeCell ref="I42:I65"/>
    <mergeCell ref="I34:I41"/>
    <mergeCell ref="I26:I33"/>
    <mergeCell ref="I2:I25"/>
  </mergeCells>
  <printOptions/>
  <pageMargins left="0.25" right="0.25" top="0.75" bottom="0.75" header="0.3" footer="0.3"/>
  <pageSetup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zoomScale="85" zoomScaleNormal="85" zoomScalePageLayoutView="0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18" sqref="A18:A25"/>
    </sheetView>
  </sheetViews>
  <sheetFormatPr defaultColWidth="9.140625" defaultRowHeight="15"/>
  <cols>
    <col min="1" max="1" width="4.7109375" style="150" bestFit="1" customWidth="1"/>
    <col min="2" max="4" width="1.7109375" style="150" customWidth="1"/>
    <col min="5" max="5" width="5.140625" style="150" bestFit="1" customWidth="1"/>
    <col min="6" max="6" width="5.421875" style="151" bestFit="1" customWidth="1"/>
    <col min="7" max="7" width="9.28125" style="152" customWidth="1"/>
    <col min="8" max="10" width="1.7109375" style="152" customWidth="1"/>
    <col min="11" max="11" width="8.140625" style="153" customWidth="1"/>
    <col min="12" max="12" width="9.140625" style="150" customWidth="1"/>
    <col min="13" max="13" width="9.140625" style="151" customWidth="1"/>
    <col min="14" max="14" width="2.28125" style="154" customWidth="1"/>
    <col min="15" max="20" width="6.7109375" style="154" customWidth="1"/>
    <col min="21" max="23" width="6.7109375" style="150" customWidth="1"/>
    <col min="24" max="24" width="8.421875" style="150" bestFit="1" customWidth="1"/>
    <col min="25" max="32" width="6.7109375" style="150" customWidth="1"/>
    <col min="33" max="39" width="9.140625" style="150" customWidth="1"/>
    <col min="40" max="40" width="10.7109375" style="150" bestFit="1" customWidth="1"/>
    <col min="41" max="16384" width="9.140625" style="150" customWidth="1"/>
  </cols>
  <sheetData>
    <row r="1" spans="15:42" ht="12.75">
      <c r="O1" s="462" t="s">
        <v>111</v>
      </c>
      <c r="P1" s="462"/>
      <c r="Q1" s="462"/>
      <c r="R1" s="462"/>
      <c r="S1" s="462"/>
      <c r="T1" s="462"/>
      <c r="U1" s="462"/>
      <c r="V1" s="462"/>
      <c r="W1" s="468" t="s">
        <v>112</v>
      </c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9" t="s">
        <v>113</v>
      </c>
      <c r="AL1" s="469"/>
      <c r="AM1" s="464" t="s">
        <v>109</v>
      </c>
      <c r="AN1" s="465"/>
      <c r="AO1" s="465" t="s">
        <v>110</v>
      </c>
      <c r="AP1" s="466"/>
    </row>
    <row r="2" spans="1:49" ht="30">
      <c r="A2" s="475" t="s">
        <v>20</v>
      </c>
      <c r="D2" s="157" t="s">
        <v>106</v>
      </c>
      <c r="E2" s="158"/>
      <c r="F2" s="159"/>
      <c r="G2" s="160"/>
      <c r="H2" s="160"/>
      <c r="I2" s="160"/>
      <c r="J2" s="160"/>
      <c r="K2" s="161"/>
      <c r="L2" s="158"/>
      <c r="M2" s="159"/>
      <c r="N2" s="162"/>
      <c r="O2" s="162"/>
      <c r="P2" s="163"/>
      <c r="Q2" s="163"/>
      <c r="R2" s="164" t="s">
        <v>104</v>
      </c>
      <c r="S2" s="164"/>
      <c r="T2" s="162"/>
      <c r="U2" s="158"/>
      <c r="V2" s="158"/>
      <c r="W2" s="165">
        <v>800</v>
      </c>
      <c r="X2" s="157" t="s">
        <v>105</v>
      </c>
      <c r="Y2" s="166" t="s">
        <v>114</v>
      </c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67" t="s">
        <v>53</v>
      </c>
      <c r="AL2" s="167"/>
      <c r="AM2" s="168" t="s">
        <v>29</v>
      </c>
      <c r="AN2" s="169" t="s">
        <v>100</v>
      </c>
      <c r="AO2" s="170" t="s">
        <v>29</v>
      </c>
      <c r="AP2" s="171" t="s">
        <v>100</v>
      </c>
      <c r="AQ2" s="172"/>
      <c r="AR2" s="173"/>
      <c r="AS2" s="173"/>
      <c r="AT2" s="173"/>
      <c r="AU2" s="173"/>
      <c r="AV2" s="173"/>
      <c r="AW2" s="173"/>
    </row>
    <row r="3" spans="1:49" ht="18" customHeight="1">
      <c r="A3" s="475"/>
      <c r="C3" s="174" t="s">
        <v>107</v>
      </c>
      <c r="D3" s="175"/>
      <c r="E3" s="175"/>
      <c r="F3" s="176"/>
      <c r="G3" s="177"/>
      <c r="H3" s="177"/>
      <c r="I3" s="177"/>
      <c r="J3" s="160"/>
      <c r="K3" s="178"/>
      <c r="L3" s="175"/>
      <c r="M3" s="176"/>
      <c r="N3" s="179"/>
      <c r="O3" s="179"/>
      <c r="P3" s="179"/>
      <c r="Q3" s="179"/>
      <c r="R3" s="179"/>
      <c r="S3" s="179"/>
      <c r="T3" s="179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80" t="s">
        <v>54</v>
      </c>
      <c r="AL3" s="180"/>
      <c r="AM3" s="460" t="s">
        <v>101</v>
      </c>
      <c r="AN3" s="461" t="s">
        <v>102</v>
      </c>
      <c r="AO3" s="461" t="s">
        <v>101</v>
      </c>
      <c r="AP3" s="467" t="s">
        <v>102</v>
      </c>
      <c r="AQ3" s="172"/>
      <c r="AR3" s="173"/>
      <c r="AS3" s="173"/>
      <c r="AT3" s="173"/>
      <c r="AU3" s="173"/>
      <c r="AV3" s="173"/>
      <c r="AW3" s="173"/>
    </row>
    <row r="4" spans="1:49" ht="18" customHeight="1">
      <c r="A4" s="475"/>
      <c r="B4" s="181" t="s">
        <v>108</v>
      </c>
      <c r="C4" s="182"/>
      <c r="D4" s="182"/>
      <c r="E4" s="182"/>
      <c r="F4" s="183"/>
      <c r="G4" s="184"/>
      <c r="H4" s="184"/>
      <c r="I4" s="184"/>
      <c r="J4" s="184"/>
      <c r="K4" s="185"/>
      <c r="L4" s="182"/>
      <c r="M4" s="183"/>
      <c r="N4" s="186"/>
      <c r="O4" s="186"/>
      <c r="P4" s="186"/>
      <c r="Q4" s="186"/>
      <c r="R4" s="186"/>
      <c r="S4" s="186"/>
      <c r="T4" s="186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7" t="s">
        <v>54</v>
      </c>
      <c r="AL4" s="187"/>
      <c r="AM4" s="460"/>
      <c r="AN4" s="461"/>
      <c r="AO4" s="461"/>
      <c r="AP4" s="467"/>
      <c r="AQ4" s="172"/>
      <c r="AR4" s="173"/>
      <c r="AS4" s="173"/>
      <c r="AT4" s="173"/>
      <c r="AU4" s="173"/>
      <c r="AV4" s="173"/>
      <c r="AW4" s="173"/>
    </row>
    <row r="5" spans="1:49" ht="25.5" customHeight="1">
      <c r="A5" s="476"/>
      <c r="B5" s="188"/>
      <c r="C5" s="189"/>
      <c r="D5" s="190"/>
      <c r="E5" s="155" t="s">
        <v>21</v>
      </c>
      <c r="F5" s="191" t="s">
        <v>22</v>
      </c>
      <c r="G5" s="192" t="s">
        <v>23</v>
      </c>
      <c r="H5" s="193"/>
      <c r="I5" s="194"/>
      <c r="J5" s="195"/>
      <c r="K5" s="196" t="s">
        <v>24</v>
      </c>
      <c r="L5" s="156" t="s">
        <v>25</v>
      </c>
      <c r="M5" s="197" t="s">
        <v>103</v>
      </c>
      <c r="O5" s="480" t="s">
        <v>26</v>
      </c>
      <c r="P5" s="481"/>
      <c r="Q5" s="453" t="s">
        <v>128</v>
      </c>
      <c r="R5" s="454"/>
      <c r="S5" s="453" t="s">
        <v>129</v>
      </c>
      <c r="T5" s="454"/>
      <c r="U5" s="455" t="s">
        <v>56</v>
      </c>
      <c r="V5" s="456"/>
      <c r="W5" s="455" t="s">
        <v>96</v>
      </c>
      <c r="X5" s="456"/>
      <c r="Y5" s="470" t="s">
        <v>97</v>
      </c>
      <c r="Z5" s="471"/>
      <c r="AA5" s="455" t="s">
        <v>99</v>
      </c>
      <c r="AB5" s="456"/>
      <c r="AC5" s="453" t="s">
        <v>55</v>
      </c>
      <c r="AD5" s="454"/>
      <c r="AE5" s="455" t="s">
        <v>56</v>
      </c>
      <c r="AF5" s="456"/>
      <c r="AG5" s="474" t="s">
        <v>27</v>
      </c>
      <c r="AH5" s="456"/>
      <c r="AI5" s="455" t="s">
        <v>98</v>
      </c>
      <c r="AJ5" s="463"/>
      <c r="AK5" s="474" t="s">
        <v>28</v>
      </c>
      <c r="AL5" s="479"/>
      <c r="AM5" s="460"/>
      <c r="AN5" s="461"/>
      <c r="AO5" s="461"/>
      <c r="AP5" s="467"/>
      <c r="AQ5" s="198"/>
      <c r="AR5" s="198"/>
      <c r="AS5" s="198"/>
      <c r="AT5" s="198"/>
      <c r="AU5" s="198"/>
      <c r="AV5" s="173"/>
      <c r="AW5" s="173"/>
    </row>
    <row r="6" spans="1:42" ht="15" customHeight="1">
      <c r="A6" s="199">
        <v>0</v>
      </c>
      <c r="B6" s="186"/>
      <c r="C6" s="179"/>
      <c r="D6" s="162"/>
      <c r="E6" s="200">
        <v>0</v>
      </c>
      <c r="F6" s="201">
        <v>0</v>
      </c>
      <c r="G6" s="202" t="s">
        <v>30</v>
      </c>
      <c r="H6" s="193"/>
      <c r="I6" s="194"/>
      <c r="J6" s="195"/>
      <c r="K6" s="203">
        <v>0</v>
      </c>
      <c r="L6" s="204">
        <f>100*(E6^2/(10000))</f>
        <v>0</v>
      </c>
      <c r="M6" s="205">
        <f>L6*1.3*SIN(RADIANS($AM$6))</f>
        <v>0</v>
      </c>
      <c r="O6" s="459">
        <f>20.6+13.2</f>
        <v>33.8</v>
      </c>
      <c r="P6" s="458"/>
      <c r="Q6" s="451">
        <f>18.5+13.2*0.6</f>
        <v>26.419999999999998</v>
      </c>
      <c r="R6" s="452"/>
      <c r="S6" s="451">
        <f>15.2+13.2*0.5</f>
        <v>21.799999999999997</v>
      </c>
      <c r="T6" s="452"/>
      <c r="U6" s="457">
        <f>11.1+4</f>
        <v>15.1</v>
      </c>
      <c r="V6" s="458"/>
      <c r="W6" s="459">
        <f>20.6+13.2</f>
        <v>33.8</v>
      </c>
      <c r="X6" s="458"/>
      <c r="Y6" s="472">
        <f>20.6+13.2*0.66</f>
        <v>29.312</v>
      </c>
      <c r="Z6" s="473"/>
      <c r="AA6" s="459">
        <f>20.6+13.2</f>
        <v>33.8</v>
      </c>
      <c r="AB6" s="458"/>
      <c r="AC6" s="451">
        <f>15.2+13.2*0.33</f>
        <v>19.555999999999997</v>
      </c>
      <c r="AD6" s="452"/>
      <c r="AE6" s="457">
        <f>11.1+3</f>
        <v>14.1</v>
      </c>
      <c r="AF6" s="458"/>
      <c r="AG6" s="457">
        <f>16.7+25</f>
        <v>41.7</v>
      </c>
      <c r="AH6" s="458"/>
      <c r="AI6" s="457">
        <f>10.9+25</f>
        <v>35.9</v>
      </c>
      <c r="AJ6" s="458"/>
      <c r="AK6" s="206">
        <f>20.6+60</f>
        <v>80.6</v>
      </c>
      <c r="AL6" s="204"/>
      <c r="AM6" s="207">
        <v>12</v>
      </c>
      <c r="AN6" s="208">
        <v>30</v>
      </c>
      <c r="AO6" s="208">
        <v>30</v>
      </c>
      <c r="AP6" s="209">
        <v>45</v>
      </c>
    </row>
    <row r="7" spans="1:39" ht="15" customHeight="1">
      <c r="A7" s="482">
        <v>1</v>
      </c>
      <c r="B7" s="210"/>
      <c r="C7" s="211"/>
      <c r="D7" s="212"/>
      <c r="E7" s="200">
        <f>1+E6</f>
        <v>1</v>
      </c>
      <c r="F7" s="213">
        <f aca="true" t="shared" si="0" ref="F7:F70">E7/1.852</f>
        <v>0.5399568034557235</v>
      </c>
      <c r="G7" s="477" t="s">
        <v>31</v>
      </c>
      <c r="H7" s="193"/>
      <c r="I7" s="194"/>
      <c r="J7" s="195"/>
      <c r="K7" s="483">
        <v>0.1</v>
      </c>
      <c r="L7" s="204">
        <f aca="true" t="shared" si="1" ref="L7:L70">100*(E7^2/(10000))</f>
        <v>0.01</v>
      </c>
      <c r="M7" s="205">
        <f>L7*1.5*SIN(RADIANS($AM$6))</f>
        <v>0.00311867536226639</v>
      </c>
      <c r="O7" s="214" t="str">
        <f>IF((M7*4.5*$O$6*COS(RADIANS($AM$6)))&lt;$W$2,"OK","")</f>
        <v>OK</v>
      </c>
      <c r="P7" s="214">
        <f>IF((M7*4.5*$O$6*COS(RADIANS($AM$6)))&lt;$W$2,M7*4.5*$O$6*SIN(RADIANS($AN$6)),"")</f>
        <v>0.23717526130035893</v>
      </c>
      <c r="Q7" s="214" t="str">
        <f>IF((M7*4.25*$Q$6*COS(RADIANS($AN$6)))&lt;$W$2,"OK","")</f>
        <v>OK</v>
      </c>
      <c r="R7" s="214">
        <f>IF((M7*4.25*$Q$6*COS(RADIANS($AN$6)))&lt;$W$2,M7*4*$Q$6*SIN(RADIANS($AM$6)),"")</f>
        <v>0.06852387027247453</v>
      </c>
      <c r="S7" s="214" t="str">
        <f>IF((M7*3.8*$S$6*COS(RADIANS($AN$6)))&lt;$W$2,"OK","")</f>
        <v>OK</v>
      </c>
      <c r="T7" s="214">
        <f>IF((M7*3.8*$S$6*COS(RADIANS($AN$6)))&lt;$W$2,M7*4*$S$6*SIN(RADIANS($AM$6)),"")</f>
        <v>0.05654127070173901</v>
      </c>
      <c r="U7" s="214" t="str">
        <f>IF((M7*3.55*$U$6*COS(RADIANS($AN$6)))&lt;$W$2,"OK","")</f>
        <v>OK</v>
      </c>
      <c r="V7" s="214">
        <f>IF((M7*3.55*$U$6*COS(RADIANS($AN$6)))&lt;$W$2,M7*4*$U$6*SIN(RADIANS($AM$6)),"")</f>
        <v>0.039163907687901796</v>
      </c>
      <c r="W7" s="215" t="str">
        <f>IF((M7*4.5*$W$6*COS(RADIANS($AO$6)))&lt;$W$2,"OK","")</f>
        <v>OK</v>
      </c>
      <c r="X7" s="216">
        <f>IF((M7*4.5*$W$6*COS(RADIANS($AO$6)))&lt;$W$2,M7*4.5*$W$6*SIN(RADIANS($AP$6)),"")</f>
        <v>0.3354164711903503</v>
      </c>
      <c r="Y7" s="215" t="str">
        <f>IF((M7*3.8*$Y$6*COS(RADIANS($AO$6)))&lt;$W$2,"OK","")</f>
        <v>OK</v>
      </c>
      <c r="Z7" s="216">
        <f>IF((M7*3.8*$Y$6*COS(RADIANS($AO$6)))&lt;$W$2,M7*3.8*$Y$6*SIN(RADIANS($AP$6)),"")</f>
        <v>0.24563159035779017</v>
      </c>
      <c r="AA7" s="216" t="str">
        <f>IF((M7*4.5*$AA$6*COS(RADIANS($AO$6)))&lt;$W$2,"OK","")</f>
        <v>OK</v>
      </c>
      <c r="AB7" s="216">
        <f>IF((M7*4.5*$AA$6*COS(RADIANS($AO$6)))&lt;$W$2,M7*4.5*$AA$6*SIN(RADIANS($AP$6)),"")</f>
        <v>0.3354164711903503</v>
      </c>
      <c r="AC7" s="216" t="str">
        <f>IF((M7*3.8*$AC$6*COS(RADIANS($AO$6)))&lt;$W$2,"OK","")</f>
        <v>OK</v>
      </c>
      <c r="AD7" s="216">
        <f>IF((M7*3.8*$AC$6*COS(RADIANS($AO$6)))&lt;$W$2,M7*3.8*$AC$6*SIN(RADIANS($AP$6)),"")</f>
        <v>0.16387729875262497</v>
      </c>
      <c r="AE7" s="216" t="str">
        <f>IF((M7*3.55*$AE$6*COS(RADIANS($AO$6)))&lt;$W$2,"OK","")</f>
        <v>OK</v>
      </c>
      <c r="AF7" s="216">
        <f>IF((M7*3.55*$AE$6*COS(RADIANS($AO$6)))&lt;$W$2,M7*3.55*$AE$6*SIN(RADIANS($AP$6)),"")</f>
        <v>0.11038311285623263</v>
      </c>
      <c r="AG7" s="216" t="str">
        <f>IF((M7*4.5*$AG$6*COS(RADIANS($AO$6)))&lt;$W$2,"OK","")</f>
        <v>OK</v>
      </c>
      <c r="AH7" s="215">
        <f>IF((M7*4.5*$AG$6*COS(RADIANS($AO$6)))&lt;$W$2,M7*4.5*$AG$6*SIN(RADIANS($AP$6)),"")</f>
        <v>0.4138126286579174</v>
      </c>
      <c r="AI7" s="217" t="str">
        <f>IF((M7*3.8*$AI$6*COS(RADIANS($AO$6)))&lt;$W$2,"OK","")</f>
        <v>OK</v>
      </c>
      <c r="AJ7" s="217">
        <f>IF((M7*3.8*$AI$6*COS(RADIANS($AO$6)))&lt;$W$2,M7*3.8*$AI$6*SIN(RADIANS($AP$6)),"")</f>
        <v>0.30083836291773564</v>
      </c>
      <c r="AK7" s="218" t="str">
        <f>IF((L7*4.5*$AK$6*COS(RADIANS(22)))&lt;$W$2,"OK","")</f>
        <v>OK</v>
      </c>
      <c r="AL7" s="218">
        <f>IF((L7*4.5*$AK$6*COS(RADIANS(22)))&lt;$W$2,L7*4.5*$AK$6*SIN(RADIANS(70)),"")</f>
        <v>3.408265135590489</v>
      </c>
      <c r="AM7" s="154"/>
    </row>
    <row r="8" spans="1:39" ht="15" customHeight="1">
      <c r="A8" s="482"/>
      <c r="B8" s="210"/>
      <c r="C8" s="211"/>
      <c r="D8" s="212"/>
      <c r="E8" s="200">
        <f aca="true" t="shared" si="2" ref="E8:E71">1+E7</f>
        <v>2</v>
      </c>
      <c r="F8" s="213">
        <f t="shared" si="0"/>
        <v>1.079913606911447</v>
      </c>
      <c r="G8" s="477"/>
      <c r="H8" s="193"/>
      <c r="I8" s="194"/>
      <c r="J8" s="195"/>
      <c r="K8" s="483"/>
      <c r="L8" s="204">
        <f t="shared" si="1"/>
        <v>0.04</v>
      </c>
      <c r="M8" s="205">
        <f aca="true" t="shared" si="3" ref="M8:M71">L8*1.5*SIN(RADIANS($AM$6))</f>
        <v>0.01247470144906556</v>
      </c>
      <c r="O8" s="214" t="str">
        <f aca="true" t="shared" si="4" ref="O8:O71">IF((M8*4.5*$O$6*COS(RADIANS($AM$6)))&lt;$W$2,"OK","")</f>
        <v>OK</v>
      </c>
      <c r="P8" s="214">
        <f aca="true" t="shared" si="5" ref="P8:P71">IF((M8*4.5*$O$6*COS(RADIANS($AM$6)))&lt;$W$2,M8*4.5*$O$6*SIN(RADIANS($AN$6)),"")</f>
        <v>0.9487010452014357</v>
      </c>
      <c r="Q8" s="214" t="str">
        <f aca="true" t="shared" si="6" ref="Q8:Q71">IF((M8*4.25*$Q$6*COS(RADIANS($AN$6)))&lt;$W$2,"OK","")</f>
        <v>OK</v>
      </c>
      <c r="R8" s="214">
        <f aca="true" t="shared" si="7" ref="R8:R71">IF((M8*4.25*$Q$6*COS(RADIANS($AN$6)))&lt;$W$2,M8*4*$Q$6*SIN(RADIANS($AM$6)),"")</f>
        <v>0.2740954810898981</v>
      </c>
      <c r="S8" s="214" t="str">
        <f aca="true" t="shared" si="8" ref="S8:S71">IF((M8*3.8*$S$6*COS(RADIANS($AN$6)))&lt;$W$2,"OK","")</f>
        <v>OK</v>
      </c>
      <c r="T8" s="214">
        <f aca="true" t="shared" si="9" ref="T8:T71">IF((M8*3.8*$S$6*COS(RADIANS($AN$6)))&lt;$W$2,M8*4*$S$6*SIN(RADIANS($AM$6)),"")</f>
        <v>0.22616508280695605</v>
      </c>
      <c r="U8" s="214" t="str">
        <f aca="true" t="shared" si="10" ref="U8:U71">IF((M8*3.55*$U$6*COS(RADIANS($AN$6)))&lt;$W$2,"OK","")</f>
        <v>OK</v>
      </c>
      <c r="V8" s="214">
        <f aca="true" t="shared" si="11" ref="V8:V71">IF((M8*3.55*$U$6*COS(RADIANS($AN$6)))&lt;$W$2,M8*4*$U$6*SIN(RADIANS($AM$6)),"")</f>
        <v>0.15665563075160718</v>
      </c>
      <c r="W8" s="215" t="str">
        <f aca="true" t="shared" si="12" ref="W8:W71">IF((M8*4.5*$W$6*COS(RADIANS($AO$6)))&lt;$W$2,"OK","")</f>
        <v>OK</v>
      </c>
      <c r="X8" s="216">
        <f aca="true" t="shared" si="13" ref="X8:X71">IF((M8*4.5*$W$6*COS(RADIANS($AO$6)))&lt;$W$2,M8*4.5*$W$6*SIN(RADIANS($AP$6)),"")</f>
        <v>1.3416658847614011</v>
      </c>
      <c r="Y8" s="215" t="str">
        <f aca="true" t="shared" si="14" ref="Y8:Y71">IF((M8*3.8*$Y$6*COS(RADIANS($AO$6)))&lt;$W$2,"OK","")</f>
        <v>OK</v>
      </c>
      <c r="Z8" s="216">
        <f aca="true" t="shared" si="15" ref="Z8:Z71">IF((M8*3.8*$Y$6*COS(RADIANS($AO$6)))&lt;$W$2,M8*3.8*$Y$6*SIN(RADIANS($AP$6)),"")</f>
        <v>0.9825263614311607</v>
      </c>
      <c r="AA8" s="216" t="str">
        <f aca="true" t="shared" si="16" ref="AA8:AA71">IF((M8*4.5*$AA$6*COS(RADIANS($AO$6)))&lt;$W$2,"OK","")</f>
        <v>OK</v>
      </c>
      <c r="AB8" s="216">
        <f aca="true" t="shared" si="17" ref="AB8:AB71">IF((M8*4.5*$AA$6*COS(RADIANS($AO$6)))&lt;$W$2,M8*4.5*$AA$6*SIN(RADIANS($AP$6)),"")</f>
        <v>1.3416658847614011</v>
      </c>
      <c r="AC8" s="216" t="str">
        <f aca="true" t="shared" si="18" ref="AC8:AC71">IF((M8*3.8*$AC$6*COS(RADIANS($AO$6)))&lt;$W$2,"OK","")</f>
        <v>OK</v>
      </c>
      <c r="AD8" s="216">
        <f aca="true" t="shared" si="19" ref="AD8:AD71">IF((M8*3.8*$AC$6*COS(RADIANS($AO$6)))&lt;$W$2,M8*3.8*$AC$6*SIN(RADIANS($AP$6)),"")</f>
        <v>0.6555091950104999</v>
      </c>
      <c r="AE8" s="216" t="str">
        <f aca="true" t="shared" si="20" ref="AE8:AE71">IF((M8*3.55*$AE$6*COS(RADIANS($AO$6)))&lt;$W$2,"OK","")</f>
        <v>OK</v>
      </c>
      <c r="AF8" s="216">
        <f aca="true" t="shared" si="21" ref="AF8:AF71">IF((M8*3.55*$AE$6*COS(RADIANS($AO$6)))&lt;$W$2,M8*3.55*$AE$6*SIN(RADIANS($AP$6)),"")</f>
        <v>0.4415324514249305</v>
      </c>
      <c r="AG8" s="216" t="str">
        <f aca="true" t="shared" si="22" ref="AG8:AG71">IF((M8*4.5*$AG$6*COS(RADIANS($AO$6)))&lt;$W$2,"OK","")</f>
        <v>OK</v>
      </c>
      <c r="AH8" s="215">
        <f aca="true" t="shared" si="23" ref="AH8:AH71">IF((M8*4.5*$AG$6*COS(RADIANS($AO$6)))&lt;$W$2,M8*4.5*$AG$6*SIN(RADIANS($AP$6)),"")</f>
        <v>1.6552505146316696</v>
      </c>
      <c r="AI8" s="217" t="str">
        <f aca="true" t="shared" si="24" ref="AI8:AI71">IF((M8*3.8*$AI$6*COS(RADIANS($AO$6)))&lt;$W$2,"OK","")</f>
        <v>OK</v>
      </c>
      <c r="AJ8" s="217">
        <f aca="true" t="shared" si="25" ref="AJ8:AJ71">IF((M8*3.8*$AI$6*COS(RADIANS($AO$6)))&lt;$W$2,M8*3.8*$AI$6*SIN(RADIANS($AP$6)),"")</f>
        <v>1.2033534516709425</v>
      </c>
      <c r="AK8" s="218" t="str">
        <f aca="true" t="shared" si="26" ref="AK8:AK21">IF((L8*4.5*$AK$6*COS(RADIANS(22)))&lt;$W$2,"OK","")</f>
        <v>OK</v>
      </c>
      <c r="AL8" s="218">
        <f aca="true" t="shared" si="27" ref="AL8:AL21">IF((L8*4.5*$AK$6*COS(RADIANS(22)))&lt;$W$2,L8*4.5*$AK$6*SIN(RADIANS(70)),"")</f>
        <v>13.633060542361957</v>
      </c>
      <c r="AM8" s="154"/>
    </row>
    <row r="9" spans="1:39" ht="15" customHeight="1">
      <c r="A9" s="482"/>
      <c r="B9" s="210"/>
      <c r="C9" s="211"/>
      <c r="D9" s="212"/>
      <c r="E9" s="200">
        <f t="shared" si="2"/>
        <v>3</v>
      </c>
      <c r="F9" s="213">
        <f t="shared" si="0"/>
        <v>1.6198704103671706</v>
      </c>
      <c r="G9" s="477"/>
      <c r="H9" s="193"/>
      <c r="I9" s="194"/>
      <c r="J9" s="195"/>
      <c r="K9" s="483"/>
      <c r="L9" s="204">
        <f t="shared" si="1"/>
        <v>0.09</v>
      </c>
      <c r="M9" s="205">
        <f t="shared" si="3"/>
        <v>0.028068078260397512</v>
      </c>
      <c r="O9" s="214" t="str">
        <f t="shared" si="4"/>
        <v>OK</v>
      </c>
      <c r="P9" s="214">
        <f t="shared" si="5"/>
        <v>2.1345773517032303</v>
      </c>
      <c r="Q9" s="214" t="str">
        <f t="shared" si="6"/>
        <v>OK</v>
      </c>
      <c r="R9" s="214">
        <f t="shared" si="7"/>
        <v>0.6167148324522708</v>
      </c>
      <c r="S9" s="214" t="str">
        <f t="shared" si="8"/>
        <v>OK</v>
      </c>
      <c r="T9" s="214">
        <f t="shared" si="9"/>
        <v>0.5088714363156511</v>
      </c>
      <c r="U9" s="214" t="str">
        <f t="shared" si="10"/>
        <v>OK</v>
      </c>
      <c r="V9" s="214">
        <f t="shared" si="11"/>
        <v>0.35247516919111616</v>
      </c>
      <c r="W9" s="215" t="str">
        <f t="shared" si="12"/>
        <v>OK</v>
      </c>
      <c r="X9" s="216">
        <f t="shared" si="13"/>
        <v>3.0187482407131525</v>
      </c>
      <c r="Y9" s="215" t="str">
        <f t="shared" si="14"/>
        <v>OK</v>
      </c>
      <c r="Z9" s="216">
        <f t="shared" si="15"/>
        <v>2.2106843132201117</v>
      </c>
      <c r="AA9" s="216" t="str">
        <f t="shared" si="16"/>
        <v>OK</v>
      </c>
      <c r="AB9" s="216">
        <f t="shared" si="17"/>
        <v>3.0187482407131525</v>
      </c>
      <c r="AC9" s="216" t="str">
        <f t="shared" si="18"/>
        <v>OK</v>
      </c>
      <c r="AD9" s="216">
        <f t="shared" si="19"/>
        <v>1.4748956887736249</v>
      </c>
      <c r="AE9" s="216" t="str">
        <f t="shared" si="20"/>
        <v>OK</v>
      </c>
      <c r="AF9" s="216">
        <f t="shared" si="21"/>
        <v>0.9934480157060938</v>
      </c>
      <c r="AG9" s="216" t="str">
        <f t="shared" si="22"/>
        <v>OK</v>
      </c>
      <c r="AH9" s="215">
        <f t="shared" si="23"/>
        <v>3.7243136579212575</v>
      </c>
      <c r="AI9" s="217" t="str">
        <f t="shared" si="24"/>
        <v>OK</v>
      </c>
      <c r="AJ9" s="217">
        <f t="shared" si="25"/>
        <v>2.7075452662596207</v>
      </c>
      <c r="AK9" s="218" t="str">
        <f t="shared" si="26"/>
        <v>OK</v>
      </c>
      <c r="AL9" s="218">
        <f t="shared" si="27"/>
        <v>30.6743862203144</v>
      </c>
      <c r="AM9" s="154"/>
    </row>
    <row r="10" spans="1:39" ht="15" customHeight="1">
      <c r="A10" s="482"/>
      <c r="B10" s="210"/>
      <c r="C10" s="211"/>
      <c r="D10" s="212"/>
      <c r="E10" s="200">
        <f t="shared" si="2"/>
        <v>4</v>
      </c>
      <c r="F10" s="213">
        <f t="shared" si="0"/>
        <v>2.159827213822894</v>
      </c>
      <c r="G10" s="477"/>
      <c r="H10" s="193"/>
      <c r="I10" s="194"/>
      <c r="J10" s="195"/>
      <c r="K10" s="483"/>
      <c r="L10" s="204">
        <f t="shared" si="1"/>
        <v>0.16</v>
      </c>
      <c r="M10" s="205">
        <f t="shared" si="3"/>
        <v>0.04989880579626224</v>
      </c>
      <c r="O10" s="214" t="str">
        <f t="shared" si="4"/>
        <v>OK</v>
      </c>
      <c r="P10" s="214">
        <f t="shared" si="5"/>
        <v>3.794804180805743</v>
      </c>
      <c r="Q10" s="214" t="str">
        <f t="shared" si="6"/>
        <v>OK</v>
      </c>
      <c r="R10" s="214">
        <f t="shared" si="7"/>
        <v>1.0963819243595925</v>
      </c>
      <c r="S10" s="214" t="str">
        <f t="shared" si="8"/>
        <v>OK</v>
      </c>
      <c r="T10" s="214">
        <f t="shared" si="9"/>
        <v>0.9046603312278242</v>
      </c>
      <c r="U10" s="214" t="str">
        <f t="shared" si="10"/>
        <v>OK</v>
      </c>
      <c r="V10" s="214">
        <f t="shared" si="11"/>
        <v>0.6266225230064287</v>
      </c>
      <c r="W10" s="215" t="str">
        <f t="shared" si="12"/>
        <v>OK</v>
      </c>
      <c r="X10" s="216">
        <f t="shared" si="13"/>
        <v>5.366663539045605</v>
      </c>
      <c r="Y10" s="215" t="str">
        <f t="shared" si="14"/>
        <v>OK</v>
      </c>
      <c r="Z10" s="216">
        <f t="shared" si="15"/>
        <v>3.9301054457246427</v>
      </c>
      <c r="AA10" s="216" t="str">
        <f t="shared" si="16"/>
        <v>OK</v>
      </c>
      <c r="AB10" s="216">
        <f t="shared" si="17"/>
        <v>5.366663539045605</v>
      </c>
      <c r="AC10" s="216" t="str">
        <f t="shared" si="18"/>
        <v>OK</v>
      </c>
      <c r="AD10" s="216">
        <f t="shared" si="19"/>
        <v>2.6220367800419995</v>
      </c>
      <c r="AE10" s="216" t="str">
        <f t="shared" si="20"/>
        <v>OK</v>
      </c>
      <c r="AF10" s="216">
        <f t="shared" si="21"/>
        <v>1.766129805699722</v>
      </c>
      <c r="AG10" s="216" t="str">
        <f t="shared" si="22"/>
        <v>OK</v>
      </c>
      <c r="AH10" s="215">
        <f t="shared" si="23"/>
        <v>6.6210020585266784</v>
      </c>
      <c r="AI10" s="217" t="str">
        <f t="shared" si="24"/>
        <v>OK</v>
      </c>
      <c r="AJ10" s="217">
        <f t="shared" si="25"/>
        <v>4.81341380668377</v>
      </c>
      <c r="AK10" s="218" t="str">
        <f t="shared" si="26"/>
        <v>OK</v>
      </c>
      <c r="AL10" s="218">
        <f t="shared" si="27"/>
        <v>54.53224216944783</v>
      </c>
      <c r="AM10" s="154"/>
    </row>
    <row r="11" spans="1:39" ht="15" customHeight="1">
      <c r="A11" s="482"/>
      <c r="B11" s="210"/>
      <c r="C11" s="211"/>
      <c r="D11" s="212"/>
      <c r="E11" s="200">
        <f t="shared" si="2"/>
        <v>5</v>
      </c>
      <c r="F11" s="213">
        <f t="shared" si="0"/>
        <v>2.6997840172786174</v>
      </c>
      <c r="G11" s="477"/>
      <c r="H11" s="193"/>
      <c r="I11" s="194"/>
      <c r="J11" s="195"/>
      <c r="K11" s="483"/>
      <c r="L11" s="204">
        <f t="shared" si="1"/>
        <v>0.25</v>
      </c>
      <c r="M11" s="205">
        <f t="shared" si="3"/>
        <v>0.07796688405665975</v>
      </c>
      <c r="O11" s="214" t="str">
        <f t="shared" si="4"/>
        <v>OK</v>
      </c>
      <c r="P11" s="214">
        <f t="shared" si="5"/>
        <v>5.929381532508972</v>
      </c>
      <c r="Q11" s="214" t="str">
        <f t="shared" si="6"/>
        <v>OK</v>
      </c>
      <c r="R11" s="214">
        <f t="shared" si="7"/>
        <v>1.7130967568118631</v>
      </c>
      <c r="S11" s="214" t="str">
        <f t="shared" si="8"/>
        <v>OK</v>
      </c>
      <c r="T11" s="214">
        <f t="shared" si="9"/>
        <v>1.413531767543475</v>
      </c>
      <c r="U11" s="214" t="str">
        <f t="shared" si="10"/>
        <v>OK</v>
      </c>
      <c r="V11" s="214">
        <f t="shared" si="11"/>
        <v>0.9790976921975448</v>
      </c>
      <c r="W11" s="215" t="str">
        <f t="shared" si="12"/>
        <v>OK</v>
      </c>
      <c r="X11" s="216">
        <f t="shared" si="13"/>
        <v>8.385411779758757</v>
      </c>
      <c r="Y11" s="215" t="str">
        <f t="shared" si="14"/>
        <v>OK</v>
      </c>
      <c r="Z11" s="216">
        <f t="shared" si="15"/>
        <v>6.140789758944754</v>
      </c>
      <c r="AA11" s="216" t="str">
        <f t="shared" si="16"/>
        <v>OK</v>
      </c>
      <c r="AB11" s="216">
        <f t="shared" si="17"/>
        <v>8.385411779758757</v>
      </c>
      <c r="AC11" s="216" t="str">
        <f t="shared" si="18"/>
        <v>OK</v>
      </c>
      <c r="AD11" s="216">
        <f t="shared" si="19"/>
        <v>4.096932468815624</v>
      </c>
      <c r="AE11" s="216" t="str">
        <f t="shared" si="20"/>
        <v>OK</v>
      </c>
      <c r="AF11" s="216">
        <f t="shared" si="21"/>
        <v>2.7595778214058155</v>
      </c>
      <c r="AG11" s="216" t="str">
        <f t="shared" si="22"/>
        <v>OK</v>
      </c>
      <c r="AH11" s="215">
        <f t="shared" si="23"/>
        <v>10.345315716447933</v>
      </c>
      <c r="AI11" s="217" t="str">
        <f t="shared" si="24"/>
        <v>OK</v>
      </c>
      <c r="AJ11" s="217">
        <f t="shared" si="25"/>
        <v>7.5209590729433895</v>
      </c>
      <c r="AK11" s="218" t="str">
        <f t="shared" si="26"/>
        <v>OK</v>
      </c>
      <c r="AL11" s="218">
        <f t="shared" si="27"/>
        <v>85.20662838976223</v>
      </c>
      <c r="AM11" s="154"/>
    </row>
    <row r="12" spans="1:39" ht="15" customHeight="1">
      <c r="A12" s="482">
        <v>2</v>
      </c>
      <c r="B12" s="210"/>
      <c r="C12" s="211"/>
      <c r="D12" s="212"/>
      <c r="E12" s="200">
        <f t="shared" si="2"/>
        <v>6</v>
      </c>
      <c r="F12" s="213">
        <f t="shared" si="0"/>
        <v>3.239740820734341</v>
      </c>
      <c r="G12" s="477" t="s">
        <v>32</v>
      </c>
      <c r="H12" s="193"/>
      <c r="I12" s="194"/>
      <c r="J12" s="195"/>
      <c r="K12" s="478">
        <v>0.5</v>
      </c>
      <c r="L12" s="204">
        <f t="shared" si="1"/>
        <v>0.36</v>
      </c>
      <c r="M12" s="205">
        <f t="shared" si="3"/>
        <v>0.11227231304159005</v>
      </c>
      <c r="O12" s="214" t="str">
        <f t="shared" si="4"/>
        <v>OK</v>
      </c>
      <c r="P12" s="214">
        <f t="shared" si="5"/>
        <v>8.538309406812921</v>
      </c>
      <c r="Q12" s="214" t="str">
        <f t="shared" si="6"/>
        <v>OK</v>
      </c>
      <c r="R12" s="214">
        <f t="shared" si="7"/>
        <v>2.466859329809083</v>
      </c>
      <c r="S12" s="214" t="str">
        <f t="shared" si="8"/>
        <v>OK</v>
      </c>
      <c r="T12" s="214">
        <f t="shared" si="9"/>
        <v>2.0354857452626045</v>
      </c>
      <c r="U12" s="214" t="str">
        <f t="shared" si="10"/>
        <v>OK</v>
      </c>
      <c r="V12" s="214">
        <f t="shared" si="11"/>
        <v>1.4099006767644646</v>
      </c>
      <c r="W12" s="215" t="str">
        <f t="shared" si="12"/>
        <v>OK</v>
      </c>
      <c r="X12" s="216">
        <f t="shared" si="13"/>
        <v>12.07499296285261</v>
      </c>
      <c r="Y12" s="215" t="str">
        <f t="shared" si="14"/>
        <v>OK</v>
      </c>
      <c r="Z12" s="216">
        <f t="shared" si="15"/>
        <v>8.842737252880447</v>
      </c>
      <c r="AA12" s="216" t="str">
        <f t="shared" si="16"/>
        <v>OK</v>
      </c>
      <c r="AB12" s="216">
        <f t="shared" si="17"/>
        <v>12.07499296285261</v>
      </c>
      <c r="AC12" s="216" t="str">
        <f t="shared" si="18"/>
        <v>OK</v>
      </c>
      <c r="AD12" s="216">
        <f t="shared" si="19"/>
        <v>5.8995827550944995</v>
      </c>
      <c r="AE12" s="216" t="str">
        <f t="shared" si="20"/>
        <v>OK</v>
      </c>
      <c r="AF12" s="216">
        <f t="shared" si="21"/>
        <v>3.973792062824375</v>
      </c>
      <c r="AG12" s="216" t="str">
        <f t="shared" si="22"/>
        <v>OK</v>
      </c>
      <c r="AH12" s="215">
        <f t="shared" si="23"/>
        <v>14.89725463168503</v>
      </c>
      <c r="AI12" s="217" t="str">
        <f t="shared" si="24"/>
        <v>OK</v>
      </c>
      <c r="AJ12" s="217">
        <f t="shared" si="25"/>
        <v>10.830181065038483</v>
      </c>
      <c r="AK12" s="218" t="str">
        <f t="shared" si="26"/>
        <v>OK</v>
      </c>
      <c r="AL12" s="218">
        <f t="shared" si="27"/>
        <v>122.6975448812576</v>
      </c>
      <c r="AM12" s="154"/>
    </row>
    <row r="13" spans="1:46" ht="15" customHeight="1">
      <c r="A13" s="482"/>
      <c r="B13" s="210"/>
      <c r="C13" s="211"/>
      <c r="D13" s="212"/>
      <c r="E13" s="200">
        <f t="shared" si="2"/>
        <v>7</v>
      </c>
      <c r="F13" s="213">
        <f t="shared" si="0"/>
        <v>3.7796976241900646</v>
      </c>
      <c r="G13" s="477"/>
      <c r="H13" s="193"/>
      <c r="I13" s="194"/>
      <c r="J13" s="195"/>
      <c r="K13" s="478"/>
      <c r="L13" s="204">
        <f t="shared" si="1"/>
        <v>0.49</v>
      </c>
      <c r="M13" s="205">
        <f t="shared" si="3"/>
        <v>0.15281509275105312</v>
      </c>
      <c r="O13" s="214" t="str">
        <f t="shared" si="4"/>
        <v>OK</v>
      </c>
      <c r="P13" s="214">
        <f t="shared" si="5"/>
        <v>11.621587803717588</v>
      </c>
      <c r="Q13" s="214" t="str">
        <f t="shared" si="6"/>
        <v>OK</v>
      </c>
      <c r="R13" s="214">
        <f t="shared" si="7"/>
        <v>3.3576696433512523</v>
      </c>
      <c r="S13" s="214" t="str">
        <f t="shared" si="8"/>
        <v>OK</v>
      </c>
      <c r="T13" s="214">
        <f t="shared" si="9"/>
        <v>2.7705222643852117</v>
      </c>
      <c r="U13" s="214" t="str">
        <f t="shared" si="10"/>
        <v>OK</v>
      </c>
      <c r="V13" s="214">
        <f t="shared" si="11"/>
        <v>1.919031476707188</v>
      </c>
      <c r="W13" s="215" t="str">
        <f t="shared" si="12"/>
        <v>OK</v>
      </c>
      <c r="X13" s="216">
        <f t="shared" si="13"/>
        <v>16.435407088327164</v>
      </c>
      <c r="Y13" s="215" t="str">
        <f t="shared" si="14"/>
        <v>OK</v>
      </c>
      <c r="Z13" s="216">
        <f t="shared" si="15"/>
        <v>12.03594792753172</v>
      </c>
      <c r="AA13" s="216" t="str">
        <f t="shared" si="16"/>
        <v>OK</v>
      </c>
      <c r="AB13" s="216">
        <f t="shared" si="17"/>
        <v>16.435407088327164</v>
      </c>
      <c r="AC13" s="216" t="str">
        <f t="shared" si="18"/>
        <v>OK</v>
      </c>
      <c r="AD13" s="216">
        <f t="shared" si="19"/>
        <v>8.029987638878625</v>
      </c>
      <c r="AE13" s="216" t="str">
        <f t="shared" si="20"/>
        <v>OK</v>
      </c>
      <c r="AF13" s="216">
        <f t="shared" si="21"/>
        <v>5.408772529955399</v>
      </c>
      <c r="AG13" s="216" t="str">
        <f t="shared" si="22"/>
        <v>OK</v>
      </c>
      <c r="AH13" s="215">
        <f t="shared" si="23"/>
        <v>20.276818804237955</v>
      </c>
      <c r="AI13" s="217" t="str">
        <f t="shared" si="24"/>
        <v>OK</v>
      </c>
      <c r="AJ13" s="217">
        <f t="shared" si="25"/>
        <v>14.741079782969047</v>
      </c>
      <c r="AK13" s="218" t="str">
        <f t="shared" si="26"/>
        <v>OK</v>
      </c>
      <c r="AL13" s="218">
        <f t="shared" si="27"/>
        <v>167.00499164393398</v>
      </c>
      <c r="AM13" s="154"/>
      <c r="AT13" s="150">
        <f>0.8*2.5/4*490</f>
        <v>245</v>
      </c>
    </row>
    <row r="14" spans="1:39" ht="15" customHeight="1">
      <c r="A14" s="482"/>
      <c r="B14" s="210"/>
      <c r="C14" s="211"/>
      <c r="D14" s="212"/>
      <c r="E14" s="200">
        <f t="shared" si="2"/>
        <v>8</v>
      </c>
      <c r="F14" s="213">
        <f t="shared" si="0"/>
        <v>4.319654427645788</v>
      </c>
      <c r="G14" s="477"/>
      <c r="H14" s="193"/>
      <c r="I14" s="194"/>
      <c r="J14" s="195"/>
      <c r="K14" s="478"/>
      <c r="L14" s="204">
        <f t="shared" si="1"/>
        <v>0.64</v>
      </c>
      <c r="M14" s="205">
        <f t="shared" si="3"/>
        <v>0.19959522318504896</v>
      </c>
      <c r="O14" s="214" t="str">
        <f t="shared" si="4"/>
        <v>OK</v>
      </c>
      <c r="P14" s="214">
        <f t="shared" si="5"/>
        <v>15.179216723222972</v>
      </c>
      <c r="Q14" s="214" t="str">
        <f t="shared" si="6"/>
        <v>OK</v>
      </c>
      <c r="R14" s="214">
        <f t="shared" si="7"/>
        <v>4.38552769743837</v>
      </c>
      <c r="S14" s="214" t="str">
        <f t="shared" si="8"/>
        <v>OK</v>
      </c>
      <c r="T14" s="214">
        <f t="shared" si="9"/>
        <v>3.6186413249112968</v>
      </c>
      <c r="U14" s="214" t="str">
        <f t="shared" si="10"/>
        <v>OK</v>
      </c>
      <c r="V14" s="214">
        <f t="shared" si="11"/>
        <v>2.506490092025715</v>
      </c>
      <c r="W14" s="215" t="str">
        <f t="shared" si="12"/>
        <v>OK</v>
      </c>
      <c r="X14" s="216">
        <f t="shared" si="13"/>
        <v>21.46665415618242</v>
      </c>
      <c r="Y14" s="215" t="str">
        <f t="shared" si="14"/>
        <v>OK</v>
      </c>
      <c r="Z14" s="216">
        <f t="shared" si="15"/>
        <v>15.72042178289857</v>
      </c>
      <c r="AA14" s="216" t="str">
        <f t="shared" si="16"/>
        <v>OK</v>
      </c>
      <c r="AB14" s="216">
        <f t="shared" si="17"/>
        <v>21.46665415618242</v>
      </c>
      <c r="AC14" s="216" t="str">
        <f t="shared" si="18"/>
        <v>OK</v>
      </c>
      <c r="AD14" s="216">
        <f t="shared" si="19"/>
        <v>10.488147120167998</v>
      </c>
      <c r="AE14" s="216" t="str">
        <f t="shared" si="20"/>
        <v>OK</v>
      </c>
      <c r="AF14" s="216">
        <f t="shared" si="21"/>
        <v>7.064519222798888</v>
      </c>
      <c r="AG14" s="216" t="str">
        <f t="shared" si="22"/>
        <v>OK</v>
      </c>
      <c r="AH14" s="215">
        <f t="shared" si="23"/>
        <v>26.484008234106714</v>
      </c>
      <c r="AI14" s="217" t="str">
        <f t="shared" si="24"/>
        <v>OK</v>
      </c>
      <c r="AJ14" s="217">
        <f t="shared" si="25"/>
        <v>19.25365522673508</v>
      </c>
      <c r="AK14" s="218" t="str">
        <f t="shared" si="26"/>
        <v>OK</v>
      </c>
      <c r="AL14" s="218">
        <f t="shared" si="27"/>
        <v>218.1289686777913</v>
      </c>
      <c r="AM14" s="154"/>
    </row>
    <row r="15" spans="1:39" ht="15" customHeight="1">
      <c r="A15" s="482"/>
      <c r="B15" s="210"/>
      <c r="C15" s="211"/>
      <c r="D15" s="212"/>
      <c r="E15" s="200">
        <f t="shared" si="2"/>
        <v>9</v>
      </c>
      <c r="F15" s="213">
        <f t="shared" si="0"/>
        <v>4.859611231101511</v>
      </c>
      <c r="G15" s="477"/>
      <c r="H15" s="193"/>
      <c r="I15" s="194"/>
      <c r="J15" s="195"/>
      <c r="K15" s="478"/>
      <c r="L15" s="204">
        <f t="shared" si="1"/>
        <v>0.8099999999999999</v>
      </c>
      <c r="M15" s="205">
        <f t="shared" si="3"/>
        <v>0.2526127043435776</v>
      </c>
      <c r="O15" s="214" t="str">
        <f t="shared" si="4"/>
        <v>OK</v>
      </c>
      <c r="P15" s="214">
        <f t="shared" si="5"/>
        <v>19.21119616532907</v>
      </c>
      <c r="Q15" s="214" t="str">
        <f t="shared" si="6"/>
        <v>OK</v>
      </c>
      <c r="R15" s="214">
        <f t="shared" si="7"/>
        <v>5.550433492070436</v>
      </c>
      <c r="S15" s="214" t="str">
        <f t="shared" si="8"/>
        <v>OK</v>
      </c>
      <c r="T15" s="214">
        <f t="shared" si="9"/>
        <v>4.579842926840859</v>
      </c>
      <c r="U15" s="214" t="str">
        <f t="shared" si="10"/>
        <v>OK</v>
      </c>
      <c r="V15" s="214">
        <f t="shared" si="11"/>
        <v>3.172276522720045</v>
      </c>
      <c r="W15" s="215" t="str">
        <f t="shared" si="12"/>
        <v>OK</v>
      </c>
      <c r="X15" s="216">
        <f t="shared" si="13"/>
        <v>27.16873416641837</v>
      </c>
      <c r="Y15" s="215" t="str">
        <f t="shared" si="14"/>
        <v>OK</v>
      </c>
      <c r="Z15" s="216">
        <f t="shared" si="15"/>
        <v>19.896158818981</v>
      </c>
      <c r="AA15" s="216" t="str">
        <f t="shared" si="16"/>
        <v>OK</v>
      </c>
      <c r="AB15" s="216">
        <f t="shared" si="17"/>
        <v>27.16873416641837</v>
      </c>
      <c r="AC15" s="216" t="str">
        <f t="shared" si="18"/>
        <v>OK</v>
      </c>
      <c r="AD15" s="216">
        <f t="shared" si="19"/>
        <v>13.274061198962622</v>
      </c>
      <c r="AE15" s="216" t="str">
        <f t="shared" si="20"/>
        <v>OK</v>
      </c>
      <c r="AF15" s="216">
        <f t="shared" si="21"/>
        <v>8.941032141354842</v>
      </c>
      <c r="AG15" s="216" t="str">
        <f t="shared" si="22"/>
        <v>OK</v>
      </c>
      <c r="AH15" s="215">
        <f t="shared" si="23"/>
        <v>33.51882292129131</v>
      </c>
      <c r="AI15" s="217" t="str">
        <f t="shared" si="24"/>
        <v>OK</v>
      </c>
      <c r="AJ15" s="217">
        <f t="shared" si="25"/>
        <v>24.36790739633658</v>
      </c>
      <c r="AK15" s="218" t="str">
        <f t="shared" si="26"/>
        <v>OK</v>
      </c>
      <c r="AL15" s="218">
        <f t="shared" si="27"/>
        <v>276.06947598282954</v>
      </c>
      <c r="AM15" s="154"/>
    </row>
    <row r="16" spans="1:39" ht="15" customHeight="1">
      <c r="A16" s="482"/>
      <c r="B16" s="210"/>
      <c r="C16" s="211"/>
      <c r="D16" s="212"/>
      <c r="E16" s="200">
        <f t="shared" si="2"/>
        <v>10</v>
      </c>
      <c r="F16" s="213">
        <f t="shared" si="0"/>
        <v>5.399568034557235</v>
      </c>
      <c r="G16" s="477"/>
      <c r="H16" s="193"/>
      <c r="I16" s="194"/>
      <c r="J16" s="195"/>
      <c r="K16" s="478"/>
      <c r="L16" s="204">
        <f t="shared" si="1"/>
        <v>1</v>
      </c>
      <c r="M16" s="205">
        <f t="shared" si="3"/>
        <v>0.311867536226639</v>
      </c>
      <c r="O16" s="214" t="str">
        <f t="shared" si="4"/>
        <v>OK</v>
      </c>
      <c r="P16" s="214">
        <f t="shared" si="5"/>
        <v>23.71752613003589</v>
      </c>
      <c r="Q16" s="214" t="str">
        <f t="shared" si="6"/>
        <v>OK</v>
      </c>
      <c r="R16" s="214">
        <f t="shared" si="7"/>
        <v>6.8523870272474525</v>
      </c>
      <c r="S16" s="214" t="str">
        <f t="shared" si="8"/>
        <v>OK</v>
      </c>
      <c r="T16" s="214">
        <f t="shared" si="9"/>
        <v>5.6541270701739</v>
      </c>
      <c r="U16" s="214" t="str">
        <f t="shared" si="10"/>
        <v>OK</v>
      </c>
      <c r="V16" s="214">
        <f t="shared" si="11"/>
        <v>3.9163907687901793</v>
      </c>
      <c r="W16" s="215" t="str">
        <f t="shared" si="12"/>
        <v>OK</v>
      </c>
      <c r="X16" s="216">
        <f t="shared" si="13"/>
        <v>33.54164711903503</v>
      </c>
      <c r="Y16" s="215" t="str">
        <f t="shared" si="14"/>
        <v>OK</v>
      </c>
      <c r="Z16" s="216">
        <f t="shared" si="15"/>
        <v>24.563159035779016</v>
      </c>
      <c r="AA16" s="216" t="str">
        <f t="shared" si="16"/>
        <v>OK</v>
      </c>
      <c r="AB16" s="216">
        <f t="shared" si="17"/>
        <v>33.54164711903503</v>
      </c>
      <c r="AC16" s="216" t="str">
        <f t="shared" si="18"/>
        <v>OK</v>
      </c>
      <c r="AD16" s="216">
        <f t="shared" si="19"/>
        <v>16.387729875262497</v>
      </c>
      <c r="AE16" s="216" t="str">
        <f t="shared" si="20"/>
        <v>OK</v>
      </c>
      <c r="AF16" s="216">
        <f t="shared" si="21"/>
        <v>11.038311285623262</v>
      </c>
      <c r="AG16" s="216" t="str">
        <f t="shared" si="22"/>
        <v>OK</v>
      </c>
      <c r="AH16" s="215">
        <f t="shared" si="23"/>
        <v>41.38126286579173</v>
      </c>
      <c r="AI16" s="217" t="str">
        <f t="shared" si="24"/>
        <v>OK</v>
      </c>
      <c r="AJ16" s="217">
        <f t="shared" si="25"/>
        <v>30.083836291773558</v>
      </c>
      <c r="AK16" s="218" t="str">
        <f t="shared" si="26"/>
        <v>OK</v>
      </c>
      <c r="AL16" s="218">
        <f t="shared" si="27"/>
        <v>340.8265135590489</v>
      </c>
      <c r="AM16" s="154"/>
    </row>
    <row r="17" spans="1:39" ht="15" customHeight="1">
      <c r="A17" s="482"/>
      <c r="B17" s="210"/>
      <c r="C17" s="211"/>
      <c r="D17" s="212"/>
      <c r="E17" s="200">
        <f t="shared" si="2"/>
        <v>11</v>
      </c>
      <c r="F17" s="213">
        <f t="shared" si="0"/>
        <v>5.939524838012959</v>
      </c>
      <c r="G17" s="477"/>
      <c r="H17" s="193"/>
      <c r="I17" s="194"/>
      <c r="J17" s="195"/>
      <c r="K17" s="478"/>
      <c r="L17" s="204">
        <f t="shared" si="1"/>
        <v>1.21</v>
      </c>
      <c r="M17" s="205">
        <f t="shared" si="3"/>
        <v>0.3773597188342332</v>
      </c>
      <c r="O17" s="214" t="str">
        <f t="shared" si="4"/>
        <v>OK</v>
      </c>
      <c r="P17" s="214">
        <f t="shared" si="5"/>
        <v>28.69820661734343</v>
      </c>
      <c r="Q17" s="214" t="str">
        <f t="shared" si="6"/>
        <v>OK</v>
      </c>
      <c r="R17" s="214">
        <f t="shared" si="7"/>
        <v>8.291388302969418</v>
      </c>
      <c r="S17" s="214" t="str">
        <f t="shared" si="8"/>
        <v>OK</v>
      </c>
      <c r="T17" s="214">
        <f t="shared" si="9"/>
        <v>6.841493754910421</v>
      </c>
      <c r="U17" s="214" t="str">
        <f t="shared" si="10"/>
        <v>OK</v>
      </c>
      <c r="V17" s="214">
        <f t="shared" si="11"/>
        <v>4.738832830236117</v>
      </c>
      <c r="W17" s="215" t="str">
        <f t="shared" si="12"/>
        <v>OK</v>
      </c>
      <c r="X17" s="216">
        <f t="shared" si="13"/>
        <v>40.585393014032384</v>
      </c>
      <c r="Y17" s="215" t="str">
        <f t="shared" si="14"/>
        <v>OK</v>
      </c>
      <c r="Z17" s="216">
        <f t="shared" si="15"/>
        <v>29.721422433292606</v>
      </c>
      <c r="AA17" s="216" t="str">
        <f t="shared" si="16"/>
        <v>OK</v>
      </c>
      <c r="AB17" s="216">
        <f t="shared" si="17"/>
        <v>40.585393014032384</v>
      </c>
      <c r="AC17" s="216" t="str">
        <f t="shared" si="18"/>
        <v>OK</v>
      </c>
      <c r="AD17" s="216">
        <f t="shared" si="19"/>
        <v>19.829153149067622</v>
      </c>
      <c r="AE17" s="216" t="str">
        <f t="shared" si="20"/>
        <v>OK</v>
      </c>
      <c r="AF17" s="216">
        <f t="shared" si="21"/>
        <v>13.356356655604147</v>
      </c>
      <c r="AG17" s="216" t="str">
        <f t="shared" si="22"/>
        <v>OK</v>
      </c>
      <c r="AH17" s="215">
        <f t="shared" si="23"/>
        <v>50.07132806760801</v>
      </c>
      <c r="AI17" s="217" t="str">
        <f t="shared" si="24"/>
        <v>OK</v>
      </c>
      <c r="AJ17" s="217">
        <f t="shared" si="25"/>
        <v>36.401441913046</v>
      </c>
      <c r="AK17" s="218" t="str">
        <f t="shared" si="26"/>
        <v>OK</v>
      </c>
      <c r="AL17" s="218">
        <f t="shared" si="27"/>
        <v>412.40008140644926</v>
      </c>
      <c r="AM17" s="154"/>
    </row>
    <row r="18" spans="1:39" ht="15" customHeight="1">
      <c r="A18" s="482">
        <v>3</v>
      </c>
      <c r="B18" s="210"/>
      <c r="C18" s="211"/>
      <c r="D18" s="212"/>
      <c r="E18" s="200">
        <f t="shared" si="2"/>
        <v>12</v>
      </c>
      <c r="F18" s="213">
        <f t="shared" si="0"/>
        <v>6.479481641468682</v>
      </c>
      <c r="G18" s="477" t="s">
        <v>33</v>
      </c>
      <c r="H18" s="219"/>
      <c r="I18" s="194"/>
      <c r="J18" s="195"/>
      <c r="K18" s="478">
        <v>1.25</v>
      </c>
      <c r="L18" s="204">
        <f t="shared" si="1"/>
        <v>1.44</v>
      </c>
      <c r="M18" s="205">
        <f t="shared" si="3"/>
        <v>0.4490892521663602</v>
      </c>
      <c r="O18" s="214" t="str">
        <f t="shared" si="4"/>
        <v>OK</v>
      </c>
      <c r="P18" s="214">
        <f t="shared" si="5"/>
        <v>34.153237627251684</v>
      </c>
      <c r="Q18" s="214" t="str">
        <f t="shared" si="6"/>
        <v>OK</v>
      </c>
      <c r="R18" s="214">
        <f t="shared" si="7"/>
        <v>9.867437319236332</v>
      </c>
      <c r="S18" s="214" t="str">
        <f t="shared" si="8"/>
        <v>OK</v>
      </c>
      <c r="T18" s="214">
        <f t="shared" si="9"/>
        <v>8.141942981050418</v>
      </c>
      <c r="U18" s="214" t="str">
        <f t="shared" si="10"/>
        <v>OK</v>
      </c>
      <c r="V18" s="214">
        <f t="shared" si="11"/>
        <v>5.6396027070578585</v>
      </c>
      <c r="W18" s="215" t="str">
        <f t="shared" si="12"/>
        <v>OK</v>
      </c>
      <c r="X18" s="216">
        <f t="shared" si="13"/>
        <v>48.29997185141044</v>
      </c>
      <c r="Y18" s="215" t="str">
        <f t="shared" si="14"/>
        <v>OK</v>
      </c>
      <c r="Z18" s="216">
        <f t="shared" si="15"/>
        <v>35.37094901152179</v>
      </c>
      <c r="AA18" s="216" t="str">
        <f t="shared" si="16"/>
        <v>OK</v>
      </c>
      <c r="AB18" s="216">
        <f t="shared" si="17"/>
        <v>48.29997185141044</v>
      </c>
      <c r="AC18" s="216" t="str">
        <f t="shared" si="18"/>
        <v>OK</v>
      </c>
      <c r="AD18" s="216">
        <f t="shared" si="19"/>
        <v>23.598331020377998</v>
      </c>
      <c r="AE18" s="216" t="str">
        <f t="shared" si="20"/>
        <v>OK</v>
      </c>
      <c r="AF18" s="216">
        <f t="shared" si="21"/>
        <v>15.8951682512975</v>
      </c>
      <c r="AG18" s="216" t="str">
        <f t="shared" si="22"/>
        <v>OK</v>
      </c>
      <c r="AH18" s="215">
        <f t="shared" si="23"/>
        <v>59.58901852674012</v>
      </c>
      <c r="AI18" s="217" t="str">
        <f t="shared" si="24"/>
        <v>OK</v>
      </c>
      <c r="AJ18" s="217">
        <f t="shared" si="25"/>
        <v>43.32072426015393</v>
      </c>
      <c r="AK18" s="218" t="str">
        <f t="shared" si="26"/>
        <v>OK</v>
      </c>
      <c r="AL18" s="218">
        <f t="shared" si="27"/>
        <v>490.7901795250304</v>
      </c>
      <c r="AM18" s="154"/>
    </row>
    <row r="19" spans="1:39" ht="15" customHeight="1">
      <c r="A19" s="482"/>
      <c r="B19" s="210"/>
      <c r="C19" s="211"/>
      <c r="D19" s="212"/>
      <c r="E19" s="200">
        <f t="shared" si="2"/>
        <v>13</v>
      </c>
      <c r="F19" s="213">
        <f t="shared" si="0"/>
        <v>7.019438444924406</v>
      </c>
      <c r="G19" s="477"/>
      <c r="H19" s="219"/>
      <c r="I19" s="194"/>
      <c r="J19" s="195"/>
      <c r="K19" s="478"/>
      <c r="L19" s="204">
        <f t="shared" si="1"/>
        <v>1.69</v>
      </c>
      <c r="M19" s="205">
        <f t="shared" si="3"/>
        <v>0.5270561362230199</v>
      </c>
      <c r="O19" s="214" t="str">
        <f t="shared" si="4"/>
        <v>OK</v>
      </c>
      <c r="P19" s="214">
        <f t="shared" si="5"/>
        <v>40.08261915976066</v>
      </c>
      <c r="Q19" s="214" t="str">
        <f t="shared" si="6"/>
        <v>OK</v>
      </c>
      <c r="R19" s="214">
        <f t="shared" si="7"/>
        <v>11.580534076048195</v>
      </c>
      <c r="S19" s="214" t="str">
        <f t="shared" si="8"/>
        <v>OK</v>
      </c>
      <c r="T19" s="214">
        <f t="shared" si="9"/>
        <v>9.555474748593893</v>
      </c>
      <c r="U19" s="214" t="str">
        <f t="shared" si="10"/>
        <v>OK</v>
      </c>
      <c r="V19" s="214">
        <f t="shared" si="11"/>
        <v>6.618700399255403</v>
      </c>
      <c r="W19" s="215" t="str">
        <f t="shared" si="12"/>
        <v>OK</v>
      </c>
      <c r="X19" s="216">
        <f t="shared" si="13"/>
        <v>56.6853836311692</v>
      </c>
      <c r="Y19" s="215" t="str">
        <f t="shared" si="14"/>
        <v>OK</v>
      </c>
      <c r="Z19" s="216">
        <f t="shared" si="15"/>
        <v>41.511738770466536</v>
      </c>
      <c r="AA19" s="216" t="str">
        <f t="shared" si="16"/>
        <v>OK</v>
      </c>
      <c r="AB19" s="216">
        <f t="shared" si="17"/>
        <v>56.6853836311692</v>
      </c>
      <c r="AC19" s="216" t="str">
        <f t="shared" si="18"/>
        <v>OK</v>
      </c>
      <c r="AD19" s="216">
        <f t="shared" si="19"/>
        <v>27.69526348919362</v>
      </c>
      <c r="AE19" s="216" t="str">
        <f t="shared" si="20"/>
        <v>OK</v>
      </c>
      <c r="AF19" s="216">
        <f t="shared" si="21"/>
        <v>18.654746072703315</v>
      </c>
      <c r="AG19" s="216" t="str">
        <f t="shared" si="22"/>
        <v>OK</v>
      </c>
      <c r="AH19" s="215">
        <f t="shared" si="23"/>
        <v>69.93433424318805</v>
      </c>
      <c r="AI19" s="217" t="str">
        <f t="shared" si="24"/>
        <v>OK</v>
      </c>
      <c r="AJ19" s="217">
        <f t="shared" si="25"/>
        <v>50.84168333309731</v>
      </c>
      <c r="AK19" s="218" t="str">
        <f t="shared" si="26"/>
        <v>OK</v>
      </c>
      <c r="AL19" s="218">
        <f t="shared" si="27"/>
        <v>575.9968079147927</v>
      </c>
      <c r="AM19" s="154"/>
    </row>
    <row r="20" spans="1:39" ht="15" customHeight="1">
      <c r="A20" s="482"/>
      <c r="B20" s="210"/>
      <c r="C20" s="211"/>
      <c r="D20" s="212"/>
      <c r="E20" s="200">
        <f t="shared" si="2"/>
        <v>14</v>
      </c>
      <c r="F20" s="213">
        <f t="shared" si="0"/>
        <v>7.559395248380129</v>
      </c>
      <c r="G20" s="477"/>
      <c r="H20" s="219"/>
      <c r="I20" s="194"/>
      <c r="J20" s="195"/>
      <c r="K20" s="478"/>
      <c r="L20" s="204">
        <f t="shared" si="1"/>
        <v>1.96</v>
      </c>
      <c r="M20" s="205">
        <f t="shared" si="3"/>
        <v>0.6112603710042125</v>
      </c>
      <c r="O20" s="214" t="str">
        <f t="shared" si="4"/>
        <v>OK</v>
      </c>
      <c r="P20" s="214">
        <f t="shared" si="5"/>
        <v>46.48635121487035</v>
      </c>
      <c r="Q20" s="214" t="str">
        <f t="shared" si="6"/>
        <v>OK</v>
      </c>
      <c r="R20" s="214">
        <f t="shared" si="7"/>
        <v>13.43067857340501</v>
      </c>
      <c r="S20" s="214" t="str">
        <f t="shared" si="8"/>
        <v>OK</v>
      </c>
      <c r="T20" s="214">
        <f t="shared" si="9"/>
        <v>11.082089057540847</v>
      </c>
      <c r="U20" s="214" t="str">
        <f t="shared" si="10"/>
        <v>OK</v>
      </c>
      <c r="V20" s="214">
        <f t="shared" si="11"/>
        <v>7.676125906828752</v>
      </c>
      <c r="W20" s="215" t="str">
        <f t="shared" si="12"/>
        <v>OK</v>
      </c>
      <c r="X20" s="216">
        <f t="shared" si="13"/>
        <v>65.74162835330866</v>
      </c>
      <c r="Y20" s="215" t="str">
        <f t="shared" si="14"/>
        <v>OK</v>
      </c>
      <c r="Z20" s="216">
        <f t="shared" si="15"/>
        <v>48.14379171012688</v>
      </c>
      <c r="AA20" s="216" t="str">
        <f t="shared" si="16"/>
        <v>OK</v>
      </c>
      <c r="AB20" s="216">
        <f t="shared" si="17"/>
        <v>65.74162835330866</v>
      </c>
      <c r="AC20" s="216" t="str">
        <f t="shared" si="18"/>
        <v>OK</v>
      </c>
      <c r="AD20" s="216">
        <f t="shared" si="19"/>
        <v>32.1199505555145</v>
      </c>
      <c r="AE20" s="216" t="str">
        <f t="shared" si="20"/>
        <v>OK</v>
      </c>
      <c r="AF20" s="216">
        <f t="shared" si="21"/>
        <v>21.635090119821594</v>
      </c>
      <c r="AG20" s="216" t="str">
        <f t="shared" si="22"/>
        <v>OK</v>
      </c>
      <c r="AH20" s="215">
        <f t="shared" si="23"/>
        <v>81.10727521695182</v>
      </c>
      <c r="AI20" s="217" t="str">
        <f t="shared" si="24"/>
        <v>OK</v>
      </c>
      <c r="AJ20" s="217">
        <f t="shared" si="25"/>
        <v>58.96431913187619</v>
      </c>
      <c r="AK20" s="218" t="str">
        <f t="shared" si="26"/>
        <v>OK</v>
      </c>
      <c r="AL20" s="218">
        <f t="shared" si="27"/>
        <v>668.0199665757359</v>
      </c>
      <c r="AM20" s="154"/>
    </row>
    <row r="21" spans="1:42" ht="15" customHeight="1">
      <c r="A21" s="482"/>
      <c r="B21" s="210"/>
      <c r="C21" s="211"/>
      <c r="D21" s="212"/>
      <c r="E21" s="200">
        <f t="shared" si="2"/>
        <v>15</v>
      </c>
      <c r="F21" s="213">
        <f t="shared" si="0"/>
        <v>8.099352051835853</v>
      </c>
      <c r="G21" s="477"/>
      <c r="H21" s="219"/>
      <c r="I21" s="194"/>
      <c r="J21" s="195"/>
      <c r="K21" s="478"/>
      <c r="L21" s="204">
        <f t="shared" si="1"/>
        <v>2.25</v>
      </c>
      <c r="M21" s="205">
        <f t="shared" si="3"/>
        <v>0.7017019565099378</v>
      </c>
      <c r="O21" s="214" t="str">
        <f t="shared" si="4"/>
        <v>OK</v>
      </c>
      <c r="P21" s="214">
        <f t="shared" si="5"/>
        <v>53.36443379258076</v>
      </c>
      <c r="Q21" s="214" t="str">
        <f t="shared" si="6"/>
        <v>OK</v>
      </c>
      <c r="R21" s="214">
        <f t="shared" si="7"/>
        <v>15.417870811306768</v>
      </c>
      <c r="S21" s="214" t="str">
        <f t="shared" si="8"/>
        <v>OK</v>
      </c>
      <c r="T21" s="214">
        <f t="shared" si="9"/>
        <v>12.721785907891277</v>
      </c>
      <c r="U21" s="214" t="str">
        <f t="shared" si="10"/>
        <v>OK</v>
      </c>
      <c r="V21" s="214">
        <f t="shared" si="11"/>
        <v>8.811879229777904</v>
      </c>
      <c r="W21" s="215" t="str">
        <f t="shared" si="12"/>
        <v>OK</v>
      </c>
      <c r="X21" s="216">
        <f t="shared" si="13"/>
        <v>75.46870601782882</v>
      </c>
      <c r="Y21" s="215" t="str">
        <f t="shared" si="14"/>
        <v>OK</v>
      </c>
      <c r="Z21" s="216">
        <f t="shared" si="15"/>
        <v>55.26710783050279</v>
      </c>
      <c r="AA21" s="216" t="str">
        <f t="shared" si="16"/>
        <v>OK</v>
      </c>
      <c r="AB21" s="216">
        <f t="shared" si="17"/>
        <v>75.46870601782882</v>
      </c>
      <c r="AC21" s="216" t="str">
        <f t="shared" si="18"/>
        <v>OK</v>
      </c>
      <c r="AD21" s="216">
        <f t="shared" si="19"/>
        <v>36.872392219340625</v>
      </c>
      <c r="AE21" s="216" t="str">
        <f t="shared" si="20"/>
        <v>OK</v>
      </c>
      <c r="AF21" s="216">
        <f t="shared" si="21"/>
        <v>24.83620039265234</v>
      </c>
      <c r="AG21" s="216" t="str">
        <f t="shared" si="22"/>
        <v>OK</v>
      </c>
      <c r="AH21" s="215">
        <f t="shared" si="23"/>
        <v>93.10784144803144</v>
      </c>
      <c r="AI21" s="217" t="str">
        <f t="shared" si="24"/>
        <v>OK</v>
      </c>
      <c r="AJ21" s="217">
        <f t="shared" si="25"/>
        <v>67.68863165649051</v>
      </c>
      <c r="AK21" s="218" t="str">
        <f t="shared" si="26"/>
        <v>OK</v>
      </c>
      <c r="AL21" s="218">
        <f t="shared" si="27"/>
        <v>766.8596555078601</v>
      </c>
      <c r="AM21" s="154"/>
      <c r="AO21" s="220" t="s">
        <v>34</v>
      </c>
      <c r="AP21" s="220" t="s">
        <v>35</v>
      </c>
    </row>
    <row r="22" spans="1:42" ht="15" customHeight="1">
      <c r="A22" s="482"/>
      <c r="B22" s="210"/>
      <c r="C22" s="211"/>
      <c r="D22" s="212"/>
      <c r="E22" s="200">
        <f t="shared" si="2"/>
        <v>16</v>
      </c>
      <c r="F22" s="213">
        <f t="shared" si="0"/>
        <v>8.639308855291576</v>
      </c>
      <c r="G22" s="477"/>
      <c r="H22" s="219"/>
      <c r="I22" s="194"/>
      <c r="J22" s="195"/>
      <c r="K22" s="478"/>
      <c r="L22" s="204">
        <f t="shared" si="1"/>
        <v>2.56</v>
      </c>
      <c r="M22" s="205">
        <f t="shared" si="3"/>
        <v>0.7983808927401959</v>
      </c>
      <c r="O22" s="214" t="str">
        <f t="shared" si="4"/>
        <v>OK</v>
      </c>
      <c r="P22" s="214">
        <f t="shared" si="5"/>
        <v>60.716866892891886</v>
      </c>
      <c r="Q22" s="214" t="str">
        <f t="shared" si="6"/>
        <v>OK</v>
      </c>
      <c r="R22" s="214">
        <f t="shared" si="7"/>
        <v>17.54211078975348</v>
      </c>
      <c r="S22" s="214" t="str">
        <f t="shared" si="8"/>
        <v>OK</v>
      </c>
      <c r="T22" s="214">
        <f t="shared" si="9"/>
        <v>14.474565299645187</v>
      </c>
      <c r="U22" s="214" t="str">
        <f t="shared" si="10"/>
        <v>OK</v>
      </c>
      <c r="V22" s="214">
        <f t="shared" si="11"/>
        <v>10.02596036810286</v>
      </c>
      <c r="W22" s="215" t="str">
        <f t="shared" si="12"/>
        <v>OK</v>
      </c>
      <c r="X22" s="216">
        <f t="shared" si="13"/>
        <v>85.86661662472967</v>
      </c>
      <c r="Y22" s="215" t="str">
        <f t="shared" si="14"/>
        <v>OK</v>
      </c>
      <c r="Z22" s="216">
        <f t="shared" si="15"/>
        <v>62.88168713159428</v>
      </c>
      <c r="AA22" s="216" t="str">
        <f t="shared" si="16"/>
        <v>OK</v>
      </c>
      <c r="AB22" s="216">
        <f t="shared" si="17"/>
        <v>85.86661662472967</v>
      </c>
      <c r="AC22" s="216" t="str">
        <f t="shared" si="18"/>
        <v>OK</v>
      </c>
      <c r="AD22" s="216">
        <f t="shared" si="19"/>
        <v>41.95258848067199</v>
      </c>
      <c r="AE22" s="216" t="str">
        <f t="shared" si="20"/>
        <v>OK</v>
      </c>
      <c r="AF22" s="216">
        <f t="shared" si="21"/>
        <v>28.258076891195554</v>
      </c>
      <c r="AG22" s="216" t="str">
        <f t="shared" si="22"/>
        <v>OK</v>
      </c>
      <c r="AH22" s="215">
        <f t="shared" si="23"/>
        <v>105.93603293642686</v>
      </c>
      <c r="AI22" s="217" t="str">
        <f t="shared" si="24"/>
        <v>OK</v>
      </c>
      <c r="AJ22" s="217">
        <f t="shared" si="25"/>
        <v>77.01462090694032</v>
      </c>
      <c r="AK22" s="218">
        <f aca="true" t="shared" si="28" ref="AK22:AK85">IF((L22*4.5*$AK$6*COS(RADIANS(22)))&lt;$W$2,"OK","")</f>
      </c>
      <c r="AL22" s="218">
        <f aca="true" t="shared" si="29" ref="AL22:AL85">IF((L22*4.5*$AK$6*COS(RADIANS(22)))&lt;$W$2,L22*4.5*$AK$6*SIN(RADIANS(70)),"")</f>
      </c>
      <c r="AM22" s="154"/>
      <c r="AO22" s="220" t="s">
        <v>36</v>
      </c>
      <c r="AP22" s="220" t="s">
        <v>37</v>
      </c>
    </row>
    <row r="23" spans="1:42" ht="15" customHeight="1">
      <c r="A23" s="482"/>
      <c r="B23" s="210"/>
      <c r="C23" s="211"/>
      <c r="D23" s="212"/>
      <c r="E23" s="200">
        <f t="shared" si="2"/>
        <v>17</v>
      </c>
      <c r="F23" s="213">
        <f t="shared" si="0"/>
        <v>9.1792656587473</v>
      </c>
      <c r="G23" s="477"/>
      <c r="H23" s="219"/>
      <c r="I23" s="194"/>
      <c r="J23" s="195"/>
      <c r="K23" s="478"/>
      <c r="L23" s="204">
        <f t="shared" si="1"/>
        <v>2.8899999999999997</v>
      </c>
      <c r="M23" s="205">
        <f t="shared" si="3"/>
        <v>0.9012971796949866</v>
      </c>
      <c r="O23" s="214" t="str">
        <f t="shared" si="4"/>
        <v>OK</v>
      </c>
      <c r="P23" s="214">
        <f t="shared" si="5"/>
        <v>68.5436505158037</v>
      </c>
      <c r="Q23" s="214" t="str">
        <f t="shared" si="6"/>
        <v>OK</v>
      </c>
      <c r="R23" s="214">
        <f t="shared" si="7"/>
        <v>19.803398508745136</v>
      </c>
      <c r="S23" s="214" t="str">
        <f t="shared" si="8"/>
        <v>OK</v>
      </c>
      <c r="T23" s="214">
        <f t="shared" si="9"/>
        <v>16.34042723280257</v>
      </c>
      <c r="U23" s="214" t="str">
        <f t="shared" si="10"/>
        <v>OK</v>
      </c>
      <c r="V23" s="214">
        <f t="shared" si="11"/>
        <v>11.318369321803617</v>
      </c>
      <c r="W23" s="215" t="str">
        <f t="shared" si="12"/>
        <v>OK</v>
      </c>
      <c r="X23" s="216">
        <f t="shared" si="13"/>
        <v>96.93536017401121</v>
      </c>
      <c r="Y23" s="215" t="str">
        <f t="shared" si="14"/>
        <v>OK</v>
      </c>
      <c r="Z23" s="216">
        <f t="shared" si="15"/>
        <v>70.98752961340135</v>
      </c>
      <c r="AA23" s="216" t="str">
        <f t="shared" si="16"/>
        <v>OK</v>
      </c>
      <c r="AB23" s="216">
        <f t="shared" si="17"/>
        <v>96.93536017401121</v>
      </c>
      <c r="AC23" s="216" t="str">
        <f t="shared" si="18"/>
        <v>OK</v>
      </c>
      <c r="AD23" s="216">
        <f t="shared" si="19"/>
        <v>47.360539339508605</v>
      </c>
      <c r="AE23" s="216" t="str">
        <f t="shared" si="20"/>
        <v>OK</v>
      </c>
      <c r="AF23" s="216">
        <f t="shared" si="21"/>
        <v>31.900719615451223</v>
      </c>
      <c r="AG23" s="216" t="str">
        <f t="shared" si="22"/>
        <v>OK</v>
      </c>
      <c r="AH23" s="215">
        <f t="shared" si="23"/>
        <v>119.5918496821381</v>
      </c>
      <c r="AI23" s="217" t="str">
        <f t="shared" si="24"/>
        <v>OK</v>
      </c>
      <c r="AJ23" s="217">
        <f t="shared" si="25"/>
        <v>86.94228688322558</v>
      </c>
      <c r="AK23" s="218">
        <f t="shared" si="28"/>
      </c>
      <c r="AL23" s="218">
        <f t="shared" si="29"/>
      </c>
      <c r="AM23" s="154"/>
      <c r="AO23" s="150">
        <f>57*4</f>
        <v>228</v>
      </c>
      <c r="AP23" s="220" t="s">
        <v>38</v>
      </c>
    </row>
    <row r="24" spans="1:39" ht="15" customHeight="1">
      <c r="A24" s="482"/>
      <c r="B24" s="210"/>
      <c r="C24" s="211"/>
      <c r="D24" s="212"/>
      <c r="E24" s="200">
        <f t="shared" si="2"/>
        <v>18</v>
      </c>
      <c r="F24" s="213">
        <f t="shared" si="0"/>
        <v>9.719222462203023</v>
      </c>
      <c r="G24" s="477"/>
      <c r="H24" s="219"/>
      <c r="I24" s="194"/>
      <c r="J24" s="195"/>
      <c r="K24" s="478"/>
      <c r="L24" s="204">
        <f t="shared" si="1"/>
        <v>3.2399999999999998</v>
      </c>
      <c r="M24" s="205">
        <f t="shared" si="3"/>
        <v>1.0104508173743103</v>
      </c>
      <c r="O24" s="214" t="str">
        <f t="shared" si="4"/>
        <v>OK</v>
      </c>
      <c r="P24" s="214">
        <f t="shared" si="5"/>
        <v>76.84478466131628</v>
      </c>
      <c r="Q24" s="214" t="str">
        <f t="shared" si="6"/>
        <v>OK</v>
      </c>
      <c r="R24" s="214">
        <f t="shared" si="7"/>
        <v>22.201733968281744</v>
      </c>
      <c r="S24" s="214" t="str">
        <f t="shared" si="8"/>
        <v>OK</v>
      </c>
      <c r="T24" s="214">
        <f t="shared" si="9"/>
        <v>18.319371707363437</v>
      </c>
      <c r="U24" s="214" t="str">
        <f t="shared" si="10"/>
        <v>OK</v>
      </c>
      <c r="V24" s="214">
        <f t="shared" si="11"/>
        <v>12.68910609088018</v>
      </c>
      <c r="W24" s="215" t="str">
        <f t="shared" si="12"/>
        <v>OK</v>
      </c>
      <c r="X24" s="216">
        <f t="shared" si="13"/>
        <v>108.67493666567348</v>
      </c>
      <c r="Y24" s="215" t="str">
        <f t="shared" si="14"/>
        <v>OK</v>
      </c>
      <c r="Z24" s="216">
        <f t="shared" si="15"/>
        <v>79.584635275924</v>
      </c>
      <c r="AA24" s="216" t="str">
        <f t="shared" si="16"/>
        <v>OK</v>
      </c>
      <c r="AB24" s="216">
        <f t="shared" si="17"/>
        <v>108.67493666567348</v>
      </c>
      <c r="AC24" s="216" t="str">
        <f t="shared" si="18"/>
        <v>OK</v>
      </c>
      <c r="AD24" s="216">
        <f t="shared" si="19"/>
        <v>53.09624479585049</v>
      </c>
      <c r="AE24" s="216" t="str">
        <f t="shared" si="20"/>
        <v>OK</v>
      </c>
      <c r="AF24" s="216">
        <f t="shared" si="21"/>
        <v>35.76412856541937</v>
      </c>
      <c r="AG24" s="216" t="str">
        <f t="shared" si="22"/>
        <v>OK</v>
      </c>
      <c r="AH24" s="215">
        <f t="shared" si="23"/>
        <v>134.07529168516524</v>
      </c>
      <c r="AI24" s="217" t="str">
        <f t="shared" si="24"/>
        <v>OK</v>
      </c>
      <c r="AJ24" s="217">
        <f t="shared" si="25"/>
        <v>97.47162958534632</v>
      </c>
      <c r="AK24" s="218">
        <f t="shared" si="28"/>
      </c>
      <c r="AL24" s="218">
        <f t="shared" si="29"/>
      </c>
      <c r="AM24" s="154"/>
    </row>
    <row r="25" spans="1:39" ht="15" customHeight="1">
      <c r="A25" s="482"/>
      <c r="B25" s="210"/>
      <c r="C25" s="211"/>
      <c r="D25" s="212"/>
      <c r="E25" s="200">
        <f t="shared" si="2"/>
        <v>19</v>
      </c>
      <c r="F25" s="213">
        <f t="shared" si="0"/>
        <v>10.259179265658746</v>
      </c>
      <c r="G25" s="477"/>
      <c r="H25" s="219"/>
      <c r="I25" s="194"/>
      <c r="J25" s="195"/>
      <c r="K25" s="478"/>
      <c r="L25" s="204">
        <f t="shared" si="1"/>
        <v>3.61</v>
      </c>
      <c r="M25" s="205">
        <f t="shared" si="3"/>
        <v>1.125841805778167</v>
      </c>
      <c r="O25" s="214" t="str">
        <f t="shared" si="4"/>
        <v>OK</v>
      </c>
      <c r="P25" s="214">
        <f t="shared" si="5"/>
        <v>85.62026932942958</v>
      </c>
      <c r="Q25" s="214" t="str">
        <f t="shared" si="6"/>
        <v>OK</v>
      </c>
      <c r="R25" s="214">
        <f t="shared" si="7"/>
        <v>24.73711716836331</v>
      </c>
      <c r="S25" s="214" t="str">
        <f t="shared" si="8"/>
        <v>OK</v>
      </c>
      <c r="T25" s="214">
        <f t="shared" si="9"/>
        <v>20.411398723327785</v>
      </c>
      <c r="U25" s="214" t="str">
        <f t="shared" si="10"/>
        <v>OK</v>
      </c>
      <c r="V25" s="214">
        <f t="shared" si="11"/>
        <v>14.13817067533255</v>
      </c>
      <c r="W25" s="215" t="str">
        <f t="shared" si="12"/>
        <v>OK</v>
      </c>
      <c r="X25" s="216">
        <f t="shared" si="13"/>
        <v>121.08534609971646</v>
      </c>
      <c r="Y25" s="215" t="str">
        <f t="shared" si="14"/>
        <v>OK</v>
      </c>
      <c r="Z25" s="216">
        <f t="shared" si="15"/>
        <v>88.67300411916226</v>
      </c>
      <c r="AA25" s="216" t="str">
        <f t="shared" si="16"/>
        <v>OK</v>
      </c>
      <c r="AB25" s="216">
        <f t="shared" si="17"/>
        <v>121.08534609971646</v>
      </c>
      <c r="AC25" s="216" t="str">
        <f t="shared" si="18"/>
        <v>OK</v>
      </c>
      <c r="AD25" s="216">
        <f t="shared" si="19"/>
        <v>59.15970484969762</v>
      </c>
      <c r="AE25" s="216" t="str">
        <f t="shared" si="20"/>
        <v>OK</v>
      </c>
      <c r="AF25" s="216">
        <f t="shared" si="21"/>
        <v>39.84830374109998</v>
      </c>
      <c r="AG25" s="216" t="str">
        <f t="shared" si="22"/>
        <v>OK</v>
      </c>
      <c r="AH25" s="215">
        <f t="shared" si="23"/>
        <v>149.3863589455082</v>
      </c>
      <c r="AI25" s="217" t="str">
        <f t="shared" si="24"/>
        <v>OK</v>
      </c>
      <c r="AJ25" s="217">
        <f t="shared" si="25"/>
        <v>108.60264901330257</v>
      </c>
      <c r="AK25" s="218">
        <f t="shared" si="28"/>
      </c>
      <c r="AL25" s="218">
        <f t="shared" si="29"/>
      </c>
      <c r="AM25" s="154"/>
    </row>
    <row r="26" spans="1:39" ht="15" customHeight="1">
      <c r="A26" s="482">
        <v>4</v>
      </c>
      <c r="B26" s="210"/>
      <c r="C26" s="211"/>
      <c r="D26" s="212"/>
      <c r="E26" s="200">
        <f t="shared" si="2"/>
        <v>20</v>
      </c>
      <c r="F26" s="213">
        <f t="shared" si="0"/>
        <v>10.79913606911447</v>
      </c>
      <c r="G26" s="477" t="s">
        <v>39</v>
      </c>
      <c r="H26" s="219"/>
      <c r="I26" s="194"/>
      <c r="J26" s="195"/>
      <c r="K26" s="478">
        <v>2.5</v>
      </c>
      <c r="L26" s="204">
        <f t="shared" si="1"/>
        <v>4</v>
      </c>
      <c r="M26" s="205">
        <f t="shared" si="3"/>
        <v>1.247470144906556</v>
      </c>
      <c r="O26" s="214" t="str">
        <f t="shared" si="4"/>
        <v>OK</v>
      </c>
      <c r="P26" s="214">
        <f t="shared" si="5"/>
        <v>94.87010452014356</v>
      </c>
      <c r="Q26" s="214" t="str">
        <f t="shared" si="6"/>
        <v>OK</v>
      </c>
      <c r="R26" s="214">
        <f t="shared" si="7"/>
        <v>27.40954810898981</v>
      </c>
      <c r="S26" s="214" t="str">
        <f t="shared" si="8"/>
        <v>OK</v>
      </c>
      <c r="T26" s="214">
        <f t="shared" si="9"/>
        <v>22.6165082806956</v>
      </c>
      <c r="U26" s="214" t="str">
        <f t="shared" si="10"/>
        <v>OK</v>
      </c>
      <c r="V26" s="214">
        <f t="shared" si="11"/>
        <v>15.665563075160717</v>
      </c>
      <c r="W26" s="215" t="str">
        <f t="shared" si="12"/>
        <v>OK</v>
      </c>
      <c r="X26" s="216">
        <f t="shared" si="13"/>
        <v>134.1665884761401</v>
      </c>
      <c r="Y26" s="215" t="str">
        <f t="shared" si="14"/>
        <v>OK</v>
      </c>
      <c r="Z26" s="216">
        <f t="shared" si="15"/>
        <v>98.25263614311606</v>
      </c>
      <c r="AA26" s="216" t="str">
        <f t="shared" si="16"/>
        <v>OK</v>
      </c>
      <c r="AB26" s="216">
        <f t="shared" si="17"/>
        <v>134.1665884761401</v>
      </c>
      <c r="AC26" s="216" t="str">
        <f t="shared" si="18"/>
        <v>OK</v>
      </c>
      <c r="AD26" s="216">
        <f t="shared" si="19"/>
        <v>65.55091950104999</v>
      </c>
      <c r="AE26" s="216" t="str">
        <f t="shared" si="20"/>
        <v>OK</v>
      </c>
      <c r="AF26" s="216">
        <f t="shared" si="21"/>
        <v>44.15324514249305</v>
      </c>
      <c r="AG26" s="216" t="str">
        <f t="shared" si="22"/>
        <v>OK</v>
      </c>
      <c r="AH26" s="215">
        <f t="shared" si="23"/>
        <v>165.52505146316693</v>
      </c>
      <c r="AI26" s="217" t="str">
        <f t="shared" si="24"/>
        <v>OK</v>
      </c>
      <c r="AJ26" s="217">
        <f t="shared" si="25"/>
        <v>120.33534516709423</v>
      </c>
      <c r="AK26" s="218">
        <f t="shared" si="28"/>
      </c>
      <c r="AL26" s="218">
        <f t="shared" si="29"/>
      </c>
      <c r="AM26" s="154"/>
    </row>
    <row r="27" spans="1:39" ht="15" customHeight="1">
      <c r="A27" s="482"/>
      <c r="B27" s="210"/>
      <c r="C27" s="211"/>
      <c r="D27" s="212"/>
      <c r="E27" s="200">
        <f t="shared" si="2"/>
        <v>21</v>
      </c>
      <c r="F27" s="213">
        <f t="shared" si="0"/>
        <v>11.339092872570195</v>
      </c>
      <c r="G27" s="477"/>
      <c r="H27" s="219"/>
      <c r="I27" s="194"/>
      <c r="J27" s="195"/>
      <c r="K27" s="478"/>
      <c r="L27" s="204">
        <f t="shared" si="1"/>
        <v>4.41</v>
      </c>
      <c r="M27" s="205">
        <f t="shared" si="3"/>
        <v>1.3753358347594782</v>
      </c>
      <c r="O27" s="214" t="str">
        <f t="shared" si="4"/>
        <v>OK</v>
      </c>
      <c r="P27" s="214">
        <f t="shared" si="5"/>
        <v>104.5942902334583</v>
      </c>
      <c r="Q27" s="214" t="str">
        <f t="shared" si="6"/>
        <v>OK</v>
      </c>
      <c r="R27" s="214">
        <f t="shared" si="7"/>
        <v>30.21902679016127</v>
      </c>
      <c r="S27" s="214" t="str">
        <f t="shared" si="8"/>
        <v>OK</v>
      </c>
      <c r="T27" s="214">
        <f t="shared" si="9"/>
        <v>24.934700379466904</v>
      </c>
      <c r="U27" s="214" t="str">
        <f t="shared" si="10"/>
        <v>OK</v>
      </c>
      <c r="V27" s="214">
        <f t="shared" si="11"/>
        <v>17.271283290364696</v>
      </c>
      <c r="W27" s="215" t="str">
        <f t="shared" si="12"/>
        <v>OK</v>
      </c>
      <c r="X27" s="216">
        <f t="shared" si="13"/>
        <v>147.91866379494448</v>
      </c>
      <c r="Y27" s="215" t="str">
        <f t="shared" si="14"/>
        <v>OK</v>
      </c>
      <c r="Z27" s="216">
        <f t="shared" si="15"/>
        <v>108.32353134778548</v>
      </c>
      <c r="AA27" s="216" t="str">
        <f t="shared" si="16"/>
        <v>OK</v>
      </c>
      <c r="AB27" s="216">
        <f t="shared" si="17"/>
        <v>147.91866379494448</v>
      </c>
      <c r="AC27" s="216" t="str">
        <f t="shared" si="18"/>
        <v>OK</v>
      </c>
      <c r="AD27" s="216">
        <f t="shared" si="19"/>
        <v>72.26988874990762</v>
      </c>
      <c r="AE27" s="216" t="str">
        <f t="shared" si="20"/>
        <v>OK</v>
      </c>
      <c r="AF27" s="216">
        <f t="shared" si="21"/>
        <v>48.678952769598595</v>
      </c>
      <c r="AG27" s="216" t="str">
        <f t="shared" si="22"/>
        <v>OK</v>
      </c>
      <c r="AH27" s="215">
        <f t="shared" si="23"/>
        <v>182.49136923814163</v>
      </c>
      <c r="AI27" s="217" t="str">
        <f t="shared" si="24"/>
        <v>OK</v>
      </c>
      <c r="AJ27" s="217">
        <f t="shared" si="25"/>
        <v>132.6697180467214</v>
      </c>
      <c r="AK27" s="218">
        <f t="shared" si="28"/>
      </c>
      <c r="AL27" s="218">
        <f t="shared" si="29"/>
      </c>
      <c r="AM27" s="154"/>
    </row>
    <row r="28" spans="1:39" ht="15" customHeight="1">
      <c r="A28" s="482"/>
      <c r="B28" s="210"/>
      <c r="C28" s="211"/>
      <c r="D28" s="212"/>
      <c r="E28" s="200">
        <f t="shared" si="2"/>
        <v>22</v>
      </c>
      <c r="F28" s="213">
        <f t="shared" si="0"/>
        <v>11.879049676025918</v>
      </c>
      <c r="G28" s="477"/>
      <c r="H28" s="219"/>
      <c r="I28" s="194"/>
      <c r="J28" s="195"/>
      <c r="K28" s="478"/>
      <c r="L28" s="204">
        <f t="shared" si="1"/>
        <v>4.84</v>
      </c>
      <c r="M28" s="205">
        <f t="shared" si="3"/>
        <v>1.5094388753369328</v>
      </c>
      <c r="O28" s="214" t="str">
        <f t="shared" si="4"/>
        <v>OK</v>
      </c>
      <c r="P28" s="214">
        <f t="shared" si="5"/>
        <v>114.79282646937372</v>
      </c>
      <c r="Q28" s="214" t="str">
        <f t="shared" si="6"/>
        <v>OK</v>
      </c>
      <c r="R28" s="214">
        <f t="shared" si="7"/>
        <v>33.16555321187767</v>
      </c>
      <c r="S28" s="214" t="str">
        <f t="shared" si="8"/>
        <v>OK</v>
      </c>
      <c r="T28" s="214">
        <f t="shared" si="9"/>
        <v>27.365975019641684</v>
      </c>
      <c r="U28" s="214" t="str">
        <f t="shared" si="10"/>
        <v>OK</v>
      </c>
      <c r="V28" s="214">
        <f t="shared" si="11"/>
        <v>18.955331320944467</v>
      </c>
      <c r="W28" s="215" t="str">
        <f t="shared" si="12"/>
        <v>OK</v>
      </c>
      <c r="X28" s="216">
        <f t="shared" si="13"/>
        <v>162.34157205612954</v>
      </c>
      <c r="Y28" s="215" t="str">
        <f t="shared" si="14"/>
        <v>OK</v>
      </c>
      <c r="Z28" s="216">
        <f t="shared" si="15"/>
        <v>118.88568973317042</v>
      </c>
      <c r="AA28" s="216" t="str">
        <f t="shared" si="16"/>
        <v>OK</v>
      </c>
      <c r="AB28" s="216">
        <f t="shared" si="17"/>
        <v>162.34157205612954</v>
      </c>
      <c r="AC28" s="216" t="str">
        <f t="shared" si="18"/>
        <v>OK</v>
      </c>
      <c r="AD28" s="216">
        <f t="shared" si="19"/>
        <v>79.31661259627049</v>
      </c>
      <c r="AE28" s="216" t="str">
        <f t="shared" si="20"/>
        <v>OK</v>
      </c>
      <c r="AF28" s="216">
        <f t="shared" si="21"/>
        <v>53.42542662241659</v>
      </c>
      <c r="AG28" s="216" t="str">
        <f t="shared" si="22"/>
        <v>OK</v>
      </c>
      <c r="AH28" s="215">
        <f t="shared" si="23"/>
        <v>200.28531227043203</v>
      </c>
      <c r="AI28" s="217" t="str">
        <f t="shared" si="24"/>
        <v>OK</v>
      </c>
      <c r="AJ28" s="217">
        <f t="shared" si="25"/>
        <v>145.605767652184</v>
      </c>
      <c r="AK28" s="218">
        <f t="shared" si="28"/>
      </c>
      <c r="AL28" s="218">
        <f t="shared" si="29"/>
      </c>
      <c r="AM28" s="154"/>
    </row>
    <row r="29" spans="1:45" ht="15" customHeight="1">
      <c r="A29" s="482"/>
      <c r="B29" s="210"/>
      <c r="C29" s="211"/>
      <c r="D29" s="212"/>
      <c r="E29" s="200">
        <f t="shared" si="2"/>
        <v>23</v>
      </c>
      <c r="F29" s="213">
        <f t="shared" si="0"/>
        <v>12.419006479481641</v>
      </c>
      <c r="G29" s="477"/>
      <c r="H29" s="219"/>
      <c r="I29" s="194"/>
      <c r="J29" s="195"/>
      <c r="K29" s="478"/>
      <c r="L29" s="204">
        <f t="shared" si="1"/>
        <v>5.29</v>
      </c>
      <c r="M29" s="205">
        <f t="shared" si="3"/>
        <v>1.6497792666389204</v>
      </c>
      <c r="O29" s="214" t="str">
        <f t="shared" si="4"/>
        <v>OK</v>
      </c>
      <c r="P29" s="214">
        <f t="shared" si="5"/>
        <v>125.46571322788986</v>
      </c>
      <c r="Q29" s="214" t="str">
        <f t="shared" si="6"/>
        <v>OK</v>
      </c>
      <c r="R29" s="214">
        <f t="shared" si="7"/>
        <v>36.24912737413903</v>
      </c>
      <c r="S29" s="214" t="str">
        <f t="shared" si="8"/>
        <v>OK</v>
      </c>
      <c r="T29" s="214">
        <f t="shared" si="9"/>
        <v>29.910332201219937</v>
      </c>
      <c r="U29" s="214" t="str">
        <f t="shared" si="10"/>
        <v>OK</v>
      </c>
      <c r="V29" s="214">
        <f t="shared" si="11"/>
        <v>20.71770716690005</v>
      </c>
      <c r="W29" s="215" t="str">
        <f t="shared" si="12"/>
        <v>OK</v>
      </c>
      <c r="X29" s="216">
        <f t="shared" si="13"/>
        <v>177.43531325969528</v>
      </c>
      <c r="Y29" s="215" t="str">
        <f t="shared" si="14"/>
        <v>OK</v>
      </c>
      <c r="Z29" s="216">
        <f t="shared" si="15"/>
        <v>129.939111299271</v>
      </c>
      <c r="AA29" s="216" t="str">
        <f t="shared" si="16"/>
        <v>OK</v>
      </c>
      <c r="AB29" s="216">
        <f t="shared" si="17"/>
        <v>177.43531325969528</v>
      </c>
      <c r="AC29" s="216" t="str">
        <f t="shared" si="18"/>
        <v>OK</v>
      </c>
      <c r="AD29" s="216">
        <f t="shared" si="19"/>
        <v>86.69109104013862</v>
      </c>
      <c r="AE29" s="216" t="str">
        <f t="shared" si="20"/>
        <v>OK</v>
      </c>
      <c r="AF29" s="216">
        <f t="shared" si="21"/>
        <v>58.39266670094706</v>
      </c>
      <c r="AG29" s="216" t="str">
        <f t="shared" si="22"/>
        <v>OK</v>
      </c>
      <c r="AH29" s="215">
        <f t="shared" si="23"/>
        <v>218.9068805600383</v>
      </c>
      <c r="AI29" s="217" t="str">
        <f t="shared" si="24"/>
        <v>OK</v>
      </c>
      <c r="AJ29" s="217">
        <f t="shared" si="25"/>
        <v>159.14349398348213</v>
      </c>
      <c r="AK29" s="218">
        <f t="shared" si="28"/>
      </c>
      <c r="AL29" s="218">
        <f t="shared" si="29"/>
      </c>
      <c r="AM29" s="154"/>
      <c r="AO29" s="150">
        <v>20.6</v>
      </c>
      <c r="AQ29" s="150">
        <v>17.5</v>
      </c>
      <c r="AS29" s="150">
        <v>16.7</v>
      </c>
    </row>
    <row r="30" spans="1:46" ht="15" customHeight="1">
      <c r="A30" s="482"/>
      <c r="B30" s="210"/>
      <c r="C30" s="211"/>
      <c r="D30" s="212"/>
      <c r="E30" s="200">
        <f t="shared" si="2"/>
        <v>24</v>
      </c>
      <c r="F30" s="213">
        <f t="shared" si="0"/>
        <v>12.958963282937365</v>
      </c>
      <c r="G30" s="477"/>
      <c r="H30" s="219"/>
      <c r="I30" s="194"/>
      <c r="J30" s="195"/>
      <c r="K30" s="478"/>
      <c r="L30" s="204">
        <f t="shared" si="1"/>
        <v>5.76</v>
      </c>
      <c r="M30" s="205">
        <f t="shared" si="3"/>
        <v>1.7963570086654408</v>
      </c>
      <c r="O30" s="214" t="str">
        <f t="shared" si="4"/>
        <v>OK</v>
      </c>
      <c r="P30" s="214">
        <f t="shared" si="5"/>
        <v>136.61295050900674</v>
      </c>
      <c r="Q30" s="214" t="str">
        <f t="shared" si="6"/>
        <v>OK</v>
      </c>
      <c r="R30" s="214">
        <f t="shared" si="7"/>
        <v>39.46974927694533</v>
      </c>
      <c r="S30" s="214" t="str">
        <f t="shared" si="8"/>
        <v>OK</v>
      </c>
      <c r="T30" s="214">
        <f t="shared" si="9"/>
        <v>32.56777192420167</v>
      </c>
      <c r="U30" s="214" t="str">
        <f t="shared" si="10"/>
        <v>OK</v>
      </c>
      <c r="V30" s="214">
        <f t="shared" si="11"/>
        <v>22.558410828231434</v>
      </c>
      <c r="W30" s="215" t="str">
        <f t="shared" si="12"/>
        <v>OK</v>
      </c>
      <c r="X30" s="216">
        <f t="shared" si="13"/>
        <v>193.19988740564176</v>
      </c>
      <c r="Y30" s="215" t="str">
        <f t="shared" si="14"/>
        <v>OK</v>
      </c>
      <c r="Z30" s="216">
        <f t="shared" si="15"/>
        <v>141.48379604608715</v>
      </c>
      <c r="AA30" s="216" t="str">
        <f t="shared" si="16"/>
        <v>OK</v>
      </c>
      <c r="AB30" s="216">
        <f t="shared" si="17"/>
        <v>193.19988740564176</v>
      </c>
      <c r="AC30" s="216" t="str">
        <f t="shared" si="18"/>
        <v>OK</v>
      </c>
      <c r="AD30" s="216">
        <f t="shared" si="19"/>
        <v>94.39332408151199</v>
      </c>
      <c r="AE30" s="216" t="str">
        <f t="shared" si="20"/>
        <v>OK</v>
      </c>
      <c r="AF30" s="216">
        <f t="shared" si="21"/>
        <v>63.58067300519</v>
      </c>
      <c r="AG30" s="216" t="str">
        <f t="shared" si="22"/>
        <v>OK</v>
      </c>
      <c r="AH30" s="215">
        <f t="shared" si="23"/>
        <v>238.35607410696048</v>
      </c>
      <c r="AI30" s="217" t="str">
        <f t="shared" si="24"/>
        <v>OK</v>
      </c>
      <c r="AJ30" s="217">
        <f t="shared" si="25"/>
        <v>173.28289704061572</v>
      </c>
      <c r="AK30" s="218">
        <f t="shared" si="28"/>
      </c>
      <c r="AL30" s="218">
        <f t="shared" si="29"/>
      </c>
      <c r="AM30" s="154"/>
      <c r="AO30" s="150">
        <v>18.5</v>
      </c>
      <c r="AP30" s="221">
        <f>AO30/AO29</f>
        <v>0.8980582524271844</v>
      </c>
      <c r="AQ30" s="150">
        <v>14.7</v>
      </c>
      <c r="AR30" s="221">
        <f>AQ30/AQ29</f>
        <v>0.84</v>
      </c>
      <c r="AS30" s="150">
        <v>13.9</v>
      </c>
      <c r="AT30" s="221">
        <f>AS30/AS29</f>
        <v>0.8323353293413174</v>
      </c>
    </row>
    <row r="31" spans="1:46" ht="15" customHeight="1">
      <c r="A31" s="482"/>
      <c r="B31" s="210"/>
      <c r="C31" s="211"/>
      <c r="D31" s="212"/>
      <c r="E31" s="200">
        <f t="shared" si="2"/>
        <v>25</v>
      </c>
      <c r="F31" s="213">
        <f t="shared" si="0"/>
        <v>13.498920086393088</v>
      </c>
      <c r="G31" s="477"/>
      <c r="H31" s="219"/>
      <c r="I31" s="194"/>
      <c r="J31" s="195"/>
      <c r="K31" s="478"/>
      <c r="L31" s="204">
        <f t="shared" si="1"/>
        <v>6.25</v>
      </c>
      <c r="M31" s="205">
        <f t="shared" si="3"/>
        <v>1.9491721014164938</v>
      </c>
      <c r="O31" s="214" t="str">
        <f t="shared" si="4"/>
        <v>OK</v>
      </c>
      <c r="P31" s="214">
        <f t="shared" si="5"/>
        <v>148.2345383127243</v>
      </c>
      <c r="Q31" s="214" t="str">
        <f t="shared" si="6"/>
        <v>OK</v>
      </c>
      <c r="R31" s="214">
        <f t="shared" si="7"/>
        <v>42.82741892029658</v>
      </c>
      <c r="S31" s="214" t="str">
        <f t="shared" si="8"/>
        <v>OK</v>
      </c>
      <c r="T31" s="214">
        <f t="shared" si="9"/>
        <v>35.33829418858688</v>
      </c>
      <c r="U31" s="214" t="str">
        <f t="shared" si="10"/>
        <v>OK</v>
      </c>
      <c r="V31" s="214">
        <f t="shared" si="11"/>
        <v>24.477442304938624</v>
      </c>
      <c r="W31" s="215" t="str">
        <f t="shared" si="12"/>
        <v>OK</v>
      </c>
      <c r="X31" s="216">
        <f t="shared" si="13"/>
        <v>209.6352944939689</v>
      </c>
      <c r="Y31" s="215" t="str">
        <f t="shared" si="14"/>
        <v>OK</v>
      </c>
      <c r="Z31" s="216">
        <f t="shared" si="15"/>
        <v>153.51974397361883</v>
      </c>
      <c r="AA31" s="216" t="str">
        <f t="shared" si="16"/>
        <v>OK</v>
      </c>
      <c r="AB31" s="216">
        <f t="shared" si="17"/>
        <v>209.6352944939689</v>
      </c>
      <c r="AC31" s="216" t="str">
        <f t="shared" si="18"/>
        <v>OK</v>
      </c>
      <c r="AD31" s="216">
        <f t="shared" si="19"/>
        <v>102.42331172039061</v>
      </c>
      <c r="AE31" s="216" t="str">
        <f t="shared" si="20"/>
        <v>OK</v>
      </c>
      <c r="AF31" s="216">
        <f t="shared" si="21"/>
        <v>68.98944553514539</v>
      </c>
      <c r="AG31" s="216" t="str">
        <f t="shared" si="22"/>
        <v>OK</v>
      </c>
      <c r="AH31" s="215">
        <f t="shared" si="23"/>
        <v>258.6328929111984</v>
      </c>
      <c r="AI31" s="217" t="str">
        <f t="shared" si="24"/>
        <v>OK</v>
      </c>
      <c r="AJ31" s="217">
        <f t="shared" si="25"/>
        <v>188.02397682358472</v>
      </c>
      <c r="AK31" s="218">
        <f t="shared" si="28"/>
      </c>
      <c r="AL31" s="218">
        <f t="shared" si="29"/>
      </c>
      <c r="AM31" s="154"/>
      <c r="AO31" s="150">
        <v>15.2</v>
      </c>
      <c r="AP31" s="221">
        <f aca="true" t="shared" si="30" ref="AP31:AR32">AO31/AO30</f>
        <v>0.8216216216216216</v>
      </c>
      <c r="AQ31" s="150">
        <v>11.6</v>
      </c>
      <c r="AR31" s="221">
        <f t="shared" si="30"/>
        <v>0.7891156462585034</v>
      </c>
      <c r="AS31" s="150">
        <v>10.9</v>
      </c>
      <c r="AT31" s="221">
        <f>AS31/AS30</f>
        <v>0.7841726618705036</v>
      </c>
    </row>
    <row r="32" spans="1:46" ht="15" customHeight="1">
      <c r="A32" s="482"/>
      <c r="B32" s="210"/>
      <c r="C32" s="211"/>
      <c r="D32" s="212"/>
      <c r="E32" s="200">
        <f t="shared" si="2"/>
        <v>26</v>
      </c>
      <c r="F32" s="213">
        <f t="shared" si="0"/>
        <v>14.038876889848812</v>
      </c>
      <c r="G32" s="477"/>
      <c r="H32" s="219"/>
      <c r="I32" s="194"/>
      <c r="J32" s="195"/>
      <c r="K32" s="478"/>
      <c r="L32" s="204">
        <f t="shared" si="1"/>
        <v>6.76</v>
      </c>
      <c r="M32" s="205">
        <f t="shared" si="3"/>
        <v>2.1082245448920798</v>
      </c>
      <c r="O32" s="214" t="str">
        <f t="shared" si="4"/>
        <v>OK</v>
      </c>
      <c r="P32" s="214">
        <f t="shared" si="5"/>
        <v>160.33047663904264</v>
      </c>
      <c r="Q32" s="214" t="str">
        <f t="shared" si="6"/>
        <v>OK</v>
      </c>
      <c r="R32" s="214">
        <f t="shared" si="7"/>
        <v>46.32213630419278</v>
      </c>
      <c r="S32" s="214" t="str">
        <f t="shared" si="8"/>
        <v>OK</v>
      </c>
      <c r="T32" s="214">
        <f t="shared" si="9"/>
        <v>38.22189899437557</v>
      </c>
      <c r="U32" s="214" t="str">
        <f t="shared" si="10"/>
        <v>OK</v>
      </c>
      <c r="V32" s="214">
        <f t="shared" si="11"/>
        <v>26.474801597021614</v>
      </c>
      <c r="W32" s="215" t="str">
        <f t="shared" si="12"/>
        <v>OK</v>
      </c>
      <c r="X32" s="216">
        <f t="shared" si="13"/>
        <v>226.7415345246768</v>
      </c>
      <c r="Y32" s="215" t="str">
        <f t="shared" si="14"/>
        <v>OK</v>
      </c>
      <c r="Z32" s="216">
        <f t="shared" si="15"/>
        <v>166.04695508186614</v>
      </c>
      <c r="AA32" s="216" t="str">
        <f t="shared" si="16"/>
        <v>OK</v>
      </c>
      <c r="AB32" s="216">
        <f t="shared" si="17"/>
        <v>226.7415345246768</v>
      </c>
      <c r="AC32" s="216" t="str">
        <f t="shared" si="18"/>
        <v>OK</v>
      </c>
      <c r="AD32" s="216">
        <f t="shared" si="19"/>
        <v>110.78105395677449</v>
      </c>
      <c r="AE32" s="216" t="str">
        <f t="shared" si="20"/>
        <v>OK</v>
      </c>
      <c r="AF32" s="216">
        <f t="shared" si="21"/>
        <v>74.61898429081326</v>
      </c>
      <c r="AG32" s="216" t="str">
        <f t="shared" si="22"/>
        <v>OK</v>
      </c>
      <c r="AH32" s="215">
        <f t="shared" si="23"/>
        <v>279.7373369727522</v>
      </c>
      <c r="AI32" s="217" t="str">
        <f t="shared" si="24"/>
        <v>OK</v>
      </c>
      <c r="AJ32" s="217">
        <f t="shared" si="25"/>
        <v>203.36673333238923</v>
      </c>
      <c r="AK32" s="218">
        <f t="shared" si="28"/>
      </c>
      <c r="AL32" s="218">
        <f t="shared" si="29"/>
      </c>
      <c r="AM32" s="154"/>
      <c r="AO32" s="150">
        <v>11.1</v>
      </c>
      <c r="AP32" s="221">
        <f t="shared" si="30"/>
        <v>0.7302631578947368</v>
      </c>
      <c r="AR32" s="221">
        <v>0.7</v>
      </c>
      <c r="AS32" s="150">
        <f>AS31*AT32</f>
        <v>7.63</v>
      </c>
      <c r="AT32" s="221">
        <v>0.7</v>
      </c>
    </row>
    <row r="33" spans="1:39" ht="15" customHeight="1">
      <c r="A33" s="482"/>
      <c r="B33" s="210"/>
      <c r="C33" s="211"/>
      <c r="D33" s="212"/>
      <c r="E33" s="200">
        <f t="shared" si="2"/>
        <v>27</v>
      </c>
      <c r="F33" s="213">
        <f t="shared" si="0"/>
        <v>14.578833693304535</v>
      </c>
      <c r="G33" s="477"/>
      <c r="H33" s="219"/>
      <c r="I33" s="194"/>
      <c r="J33" s="195"/>
      <c r="K33" s="478"/>
      <c r="L33" s="204">
        <f t="shared" si="1"/>
        <v>7.290000000000001</v>
      </c>
      <c r="M33" s="205">
        <f t="shared" si="3"/>
        <v>2.273514339092199</v>
      </c>
      <c r="O33" s="214" t="str">
        <f t="shared" si="4"/>
        <v>OK</v>
      </c>
      <c r="P33" s="214">
        <f t="shared" si="5"/>
        <v>172.90076548796168</v>
      </c>
      <c r="Q33" s="214" t="str">
        <f t="shared" si="6"/>
        <v>OK</v>
      </c>
      <c r="R33" s="214">
        <f t="shared" si="7"/>
        <v>49.95390142863394</v>
      </c>
      <c r="S33" s="214" t="str">
        <f t="shared" si="8"/>
        <v>OK</v>
      </c>
      <c r="T33" s="214">
        <f t="shared" si="9"/>
        <v>41.21858634156775</v>
      </c>
      <c r="U33" s="214" t="str">
        <f t="shared" si="10"/>
        <v>OK</v>
      </c>
      <c r="V33" s="214">
        <f t="shared" si="11"/>
        <v>28.55048870448041</v>
      </c>
      <c r="W33" s="215" t="str">
        <f t="shared" si="12"/>
        <v>OK</v>
      </c>
      <c r="X33" s="216">
        <f t="shared" si="13"/>
        <v>244.5186074977654</v>
      </c>
      <c r="Y33" s="215" t="str">
        <f t="shared" si="14"/>
        <v>OK</v>
      </c>
      <c r="Z33" s="216">
        <f t="shared" si="15"/>
        <v>179.06542937082904</v>
      </c>
      <c r="AA33" s="216" t="str">
        <f t="shared" si="16"/>
        <v>OK</v>
      </c>
      <c r="AB33" s="216">
        <f t="shared" si="17"/>
        <v>244.5186074977654</v>
      </c>
      <c r="AC33" s="216" t="str">
        <f t="shared" si="18"/>
        <v>OK</v>
      </c>
      <c r="AD33" s="216">
        <f t="shared" si="19"/>
        <v>119.46655079066363</v>
      </c>
      <c r="AE33" s="216" t="str">
        <f t="shared" si="20"/>
        <v>OK</v>
      </c>
      <c r="AF33" s="216">
        <f t="shared" si="21"/>
        <v>80.4692892721936</v>
      </c>
      <c r="AG33" s="216" t="str">
        <f t="shared" si="22"/>
        <v>OK</v>
      </c>
      <c r="AH33" s="215">
        <f t="shared" si="23"/>
        <v>301.66940629162184</v>
      </c>
      <c r="AI33" s="217" t="str">
        <f t="shared" si="24"/>
        <v>OK</v>
      </c>
      <c r="AJ33" s="217">
        <f t="shared" si="25"/>
        <v>219.3111665670293</v>
      </c>
      <c r="AK33" s="218">
        <f t="shared" si="28"/>
      </c>
      <c r="AL33" s="218">
        <f t="shared" si="29"/>
      </c>
      <c r="AM33" s="154"/>
    </row>
    <row r="34" spans="1:39" ht="15" customHeight="1">
      <c r="A34" s="482"/>
      <c r="B34" s="210"/>
      <c r="C34" s="211"/>
      <c r="D34" s="212"/>
      <c r="E34" s="200">
        <f t="shared" si="2"/>
        <v>28</v>
      </c>
      <c r="F34" s="213">
        <f t="shared" si="0"/>
        <v>15.118790496760258</v>
      </c>
      <c r="G34" s="477"/>
      <c r="H34" s="219"/>
      <c r="I34" s="194"/>
      <c r="J34" s="195"/>
      <c r="K34" s="478"/>
      <c r="L34" s="204">
        <f t="shared" si="1"/>
        <v>7.84</v>
      </c>
      <c r="M34" s="205">
        <f t="shared" si="3"/>
        <v>2.44504148401685</v>
      </c>
      <c r="O34" s="214" t="str">
        <f t="shared" si="4"/>
        <v>OK</v>
      </c>
      <c r="P34" s="214">
        <f t="shared" si="5"/>
        <v>185.9454048594814</v>
      </c>
      <c r="Q34" s="214" t="str">
        <f t="shared" si="6"/>
        <v>OK</v>
      </c>
      <c r="R34" s="214">
        <f t="shared" si="7"/>
        <v>53.72271429362004</v>
      </c>
      <c r="S34" s="214" t="str">
        <f t="shared" si="8"/>
        <v>OK</v>
      </c>
      <c r="T34" s="214">
        <f t="shared" si="9"/>
        <v>44.328356230163386</v>
      </c>
      <c r="U34" s="214" t="str">
        <f t="shared" si="10"/>
        <v>OK</v>
      </c>
      <c r="V34" s="214">
        <f t="shared" si="11"/>
        <v>30.70450362731501</v>
      </c>
      <c r="W34" s="215" t="str">
        <f t="shared" si="12"/>
        <v>OK</v>
      </c>
      <c r="X34" s="216">
        <f t="shared" si="13"/>
        <v>262.9665134132346</v>
      </c>
      <c r="Y34" s="215" t="str">
        <f t="shared" si="14"/>
        <v>OK</v>
      </c>
      <c r="Z34" s="216">
        <f t="shared" si="15"/>
        <v>192.5751668405075</v>
      </c>
      <c r="AA34" s="216" t="str">
        <f t="shared" si="16"/>
        <v>OK</v>
      </c>
      <c r="AB34" s="216">
        <f t="shared" si="17"/>
        <v>262.9665134132346</v>
      </c>
      <c r="AC34" s="216" t="str">
        <f t="shared" si="18"/>
        <v>OK</v>
      </c>
      <c r="AD34" s="216">
        <f t="shared" si="19"/>
        <v>128.479802222058</v>
      </c>
      <c r="AE34" s="216" t="str">
        <f t="shared" si="20"/>
        <v>OK</v>
      </c>
      <c r="AF34" s="216">
        <f t="shared" si="21"/>
        <v>86.54036047928638</v>
      </c>
      <c r="AG34" s="216" t="str">
        <f t="shared" si="22"/>
        <v>OK</v>
      </c>
      <c r="AH34" s="215">
        <f t="shared" si="23"/>
        <v>324.4291008678073</v>
      </c>
      <c r="AI34" s="217" t="str">
        <f t="shared" si="24"/>
        <v>OK</v>
      </c>
      <c r="AJ34" s="217">
        <f t="shared" si="25"/>
        <v>235.85727652750475</v>
      </c>
      <c r="AK34" s="218">
        <f t="shared" si="28"/>
      </c>
      <c r="AL34" s="218">
        <f t="shared" si="29"/>
      </c>
      <c r="AM34" s="154"/>
    </row>
    <row r="35" spans="1:39" ht="15" customHeight="1">
      <c r="A35" s="482">
        <v>5</v>
      </c>
      <c r="B35" s="222"/>
      <c r="C35" s="211"/>
      <c r="D35" s="212"/>
      <c r="E35" s="200">
        <f t="shared" si="2"/>
        <v>29</v>
      </c>
      <c r="F35" s="213">
        <f t="shared" si="0"/>
        <v>15.658747300215982</v>
      </c>
      <c r="G35" s="477" t="s">
        <v>40</v>
      </c>
      <c r="H35" s="219"/>
      <c r="I35" s="219"/>
      <c r="J35" s="195"/>
      <c r="K35" s="478">
        <v>4</v>
      </c>
      <c r="L35" s="204">
        <f t="shared" si="1"/>
        <v>8.41</v>
      </c>
      <c r="M35" s="205">
        <f t="shared" si="3"/>
        <v>2.622805979666034</v>
      </c>
      <c r="O35" s="214" t="str">
        <f t="shared" si="4"/>
        <v>OK</v>
      </c>
      <c r="P35" s="214">
        <f t="shared" si="5"/>
        <v>199.46439475360185</v>
      </c>
      <c r="Q35" s="214" t="str">
        <f t="shared" si="6"/>
        <v>OK</v>
      </c>
      <c r="R35" s="214">
        <f t="shared" si="7"/>
        <v>57.628574899151076</v>
      </c>
      <c r="S35" s="214" t="str">
        <f t="shared" si="8"/>
        <v>OK</v>
      </c>
      <c r="T35" s="214">
        <f t="shared" si="9"/>
        <v>47.55120866016251</v>
      </c>
      <c r="U35" s="214" t="str">
        <f t="shared" si="10"/>
        <v>OK</v>
      </c>
      <c r="V35" s="214">
        <f t="shared" si="11"/>
        <v>32.93684636552541</v>
      </c>
      <c r="W35" s="215" t="str">
        <f t="shared" si="12"/>
        <v>OK</v>
      </c>
      <c r="X35" s="216">
        <f t="shared" si="13"/>
        <v>282.0852522710846</v>
      </c>
      <c r="Y35" s="215" t="str">
        <f t="shared" si="14"/>
        <v>OK</v>
      </c>
      <c r="Z35" s="216">
        <f t="shared" si="15"/>
        <v>206.57616749090153</v>
      </c>
      <c r="AA35" s="216" t="str">
        <f t="shared" si="16"/>
        <v>OK</v>
      </c>
      <c r="AB35" s="216">
        <f t="shared" si="17"/>
        <v>282.0852522710846</v>
      </c>
      <c r="AC35" s="216" t="str">
        <f t="shared" si="18"/>
        <v>OK</v>
      </c>
      <c r="AD35" s="216">
        <f t="shared" si="19"/>
        <v>137.8208082509576</v>
      </c>
      <c r="AE35" s="216" t="str">
        <f t="shared" si="20"/>
        <v>OK</v>
      </c>
      <c r="AF35" s="216">
        <f t="shared" si="21"/>
        <v>92.83219791209164</v>
      </c>
      <c r="AG35" s="216" t="str">
        <f t="shared" si="22"/>
        <v>OK</v>
      </c>
      <c r="AH35" s="215">
        <f t="shared" si="23"/>
        <v>348.01642070130856</v>
      </c>
      <c r="AI35" s="217" t="str">
        <f t="shared" si="24"/>
        <v>OK</v>
      </c>
      <c r="AJ35" s="217">
        <f t="shared" si="25"/>
        <v>253.00506321381565</v>
      </c>
      <c r="AK35" s="218">
        <f t="shared" si="28"/>
      </c>
      <c r="AL35" s="218">
        <f t="shared" si="29"/>
      </c>
      <c r="AM35" s="154"/>
    </row>
    <row r="36" spans="1:39" ht="15" customHeight="1">
      <c r="A36" s="482"/>
      <c r="B36" s="222"/>
      <c r="C36" s="211"/>
      <c r="D36" s="212"/>
      <c r="E36" s="200">
        <f t="shared" si="2"/>
        <v>30</v>
      </c>
      <c r="F36" s="213">
        <f t="shared" si="0"/>
        <v>16.198704103671705</v>
      </c>
      <c r="G36" s="477"/>
      <c r="H36" s="219"/>
      <c r="I36" s="219"/>
      <c r="J36" s="195"/>
      <c r="K36" s="478"/>
      <c r="L36" s="204">
        <f t="shared" si="1"/>
        <v>9</v>
      </c>
      <c r="M36" s="205">
        <f t="shared" si="3"/>
        <v>2.8068078260397513</v>
      </c>
      <c r="O36" s="214" t="str">
        <f t="shared" si="4"/>
        <v>OK</v>
      </c>
      <c r="P36" s="214">
        <f t="shared" si="5"/>
        <v>213.45773517032305</v>
      </c>
      <c r="Q36" s="214" t="str">
        <f t="shared" si="6"/>
        <v>OK</v>
      </c>
      <c r="R36" s="214">
        <f t="shared" si="7"/>
        <v>61.67148324522707</v>
      </c>
      <c r="S36" s="214" t="str">
        <f t="shared" si="8"/>
        <v>OK</v>
      </c>
      <c r="T36" s="214">
        <f t="shared" si="9"/>
        <v>50.88714363156511</v>
      </c>
      <c r="U36" s="214" t="str">
        <f t="shared" si="10"/>
        <v>OK</v>
      </c>
      <c r="V36" s="214">
        <f t="shared" si="11"/>
        <v>35.24751691911162</v>
      </c>
      <c r="W36" s="215" t="str">
        <f t="shared" si="12"/>
        <v>OK</v>
      </c>
      <c r="X36" s="216">
        <f t="shared" si="13"/>
        <v>301.8748240713153</v>
      </c>
      <c r="Y36" s="215" t="str">
        <f t="shared" si="14"/>
        <v>OK</v>
      </c>
      <c r="Z36" s="216">
        <f t="shared" si="15"/>
        <v>221.06843132201115</v>
      </c>
      <c r="AA36" s="216" t="str">
        <f t="shared" si="16"/>
        <v>OK</v>
      </c>
      <c r="AB36" s="216">
        <f t="shared" si="17"/>
        <v>301.8748240713153</v>
      </c>
      <c r="AC36" s="216" t="str">
        <f t="shared" si="18"/>
        <v>OK</v>
      </c>
      <c r="AD36" s="216">
        <f t="shared" si="19"/>
        <v>147.4895688773625</v>
      </c>
      <c r="AE36" s="216" t="str">
        <f t="shared" si="20"/>
        <v>OK</v>
      </c>
      <c r="AF36" s="216">
        <f t="shared" si="21"/>
        <v>99.34480157060936</v>
      </c>
      <c r="AG36" s="216" t="str">
        <f t="shared" si="22"/>
        <v>OK</v>
      </c>
      <c r="AH36" s="215">
        <f t="shared" si="23"/>
        <v>372.43136579212575</v>
      </c>
      <c r="AI36" s="217" t="str">
        <f t="shared" si="24"/>
        <v>OK</v>
      </c>
      <c r="AJ36" s="217">
        <f t="shared" si="25"/>
        <v>270.75452662596206</v>
      </c>
      <c r="AK36" s="218">
        <f t="shared" si="28"/>
      </c>
      <c r="AL36" s="218">
        <f t="shared" si="29"/>
      </c>
      <c r="AM36" s="154"/>
    </row>
    <row r="37" spans="1:39" ht="15" customHeight="1">
      <c r="A37" s="482"/>
      <c r="B37" s="222"/>
      <c r="C37" s="211"/>
      <c r="D37" s="212"/>
      <c r="E37" s="200">
        <f t="shared" si="2"/>
        <v>31</v>
      </c>
      <c r="F37" s="213">
        <f t="shared" si="0"/>
        <v>16.73866090712743</v>
      </c>
      <c r="G37" s="477"/>
      <c r="H37" s="219"/>
      <c r="I37" s="219"/>
      <c r="J37" s="195"/>
      <c r="K37" s="478"/>
      <c r="L37" s="204">
        <f t="shared" si="1"/>
        <v>9.610000000000001</v>
      </c>
      <c r="M37" s="205">
        <f t="shared" si="3"/>
        <v>2.9970470231380015</v>
      </c>
      <c r="O37" s="214" t="str">
        <f t="shared" si="4"/>
        <v>OK</v>
      </c>
      <c r="P37" s="214">
        <f t="shared" si="5"/>
        <v>227.92542610964497</v>
      </c>
      <c r="Q37" s="214" t="str">
        <f t="shared" si="6"/>
        <v>OK</v>
      </c>
      <c r="R37" s="214">
        <f t="shared" si="7"/>
        <v>65.85143933184803</v>
      </c>
      <c r="S37" s="214" t="str">
        <f t="shared" si="8"/>
        <v>OK</v>
      </c>
      <c r="T37" s="214">
        <f t="shared" si="9"/>
        <v>54.3361611443712</v>
      </c>
      <c r="U37" s="214" t="str">
        <f t="shared" si="10"/>
        <v>OK</v>
      </c>
      <c r="V37" s="214">
        <f t="shared" si="11"/>
        <v>37.63651528807363</v>
      </c>
      <c r="W37" s="215" t="str">
        <f t="shared" si="12"/>
        <v>OK</v>
      </c>
      <c r="X37" s="216">
        <f t="shared" si="13"/>
        <v>322.3352288139267</v>
      </c>
      <c r="Y37" s="215" t="str">
        <f t="shared" si="14"/>
        <v>OK</v>
      </c>
      <c r="Z37" s="216">
        <f t="shared" si="15"/>
        <v>236.0519583338364</v>
      </c>
      <c r="AA37" s="216" t="str">
        <f t="shared" si="16"/>
        <v>OK</v>
      </c>
      <c r="AB37" s="216">
        <f t="shared" si="17"/>
        <v>322.3352288139267</v>
      </c>
      <c r="AC37" s="216" t="str">
        <f t="shared" si="18"/>
        <v>OK</v>
      </c>
      <c r="AD37" s="216">
        <f t="shared" si="19"/>
        <v>157.48608410127264</v>
      </c>
      <c r="AE37" s="216" t="str">
        <f t="shared" si="20"/>
        <v>OK</v>
      </c>
      <c r="AF37" s="216">
        <f t="shared" si="21"/>
        <v>106.07817145483958</v>
      </c>
      <c r="AG37" s="216" t="str">
        <f t="shared" si="22"/>
        <v>OK</v>
      </c>
      <c r="AH37" s="215">
        <f t="shared" si="23"/>
        <v>397.6739361402587</v>
      </c>
      <c r="AI37" s="217" t="str">
        <f t="shared" si="24"/>
        <v>OK</v>
      </c>
      <c r="AJ37" s="217">
        <f t="shared" si="25"/>
        <v>289.10566676394393</v>
      </c>
      <c r="AK37" s="218">
        <f t="shared" si="28"/>
      </c>
      <c r="AL37" s="218">
        <f t="shared" si="29"/>
      </c>
      <c r="AM37" s="154"/>
    </row>
    <row r="38" spans="1:39" ht="15" customHeight="1">
      <c r="A38" s="482"/>
      <c r="B38" s="222"/>
      <c r="C38" s="211"/>
      <c r="D38" s="212"/>
      <c r="E38" s="200">
        <f t="shared" si="2"/>
        <v>32</v>
      </c>
      <c r="F38" s="213">
        <f t="shared" si="0"/>
        <v>17.278617710583152</v>
      </c>
      <c r="G38" s="477"/>
      <c r="H38" s="219"/>
      <c r="I38" s="219"/>
      <c r="J38" s="195"/>
      <c r="K38" s="478"/>
      <c r="L38" s="204">
        <f t="shared" si="1"/>
        <v>10.24</v>
      </c>
      <c r="M38" s="205">
        <f t="shared" si="3"/>
        <v>3.1935235709607834</v>
      </c>
      <c r="O38" s="214" t="str">
        <f t="shared" si="4"/>
        <v>OK</v>
      </c>
      <c r="P38" s="214">
        <f t="shared" si="5"/>
        <v>242.86746757156754</v>
      </c>
      <c r="Q38" s="214" t="str">
        <f t="shared" si="6"/>
        <v>OK</v>
      </c>
      <c r="R38" s="214">
        <f t="shared" si="7"/>
        <v>70.16844315901392</v>
      </c>
      <c r="S38" s="214" t="str">
        <f t="shared" si="8"/>
        <v>OK</v>
      </c>
      <c r="T38" s="214">
        <f t="shared" si="9"/>
        <v>57.89826119858075</v>
      </c>
      <c r="U38" s="214" t="str">
        <f t="shared" si="10"/>
        <v>OK</v>
      </c>
      <c r="V38" s="214">
        <f t="shared" si="11"/>
        <v>40.10384147241144</v>
      </c>
      <c r="W38" s="215" t="str">
        <f t="shared" si="12"/>
        <v>OK</v>
      </c>
      <c r="X38" s="216">
        <f t="shared" si="13"/>
        <v>343.4664664989187</v>
      </c>
      <c r="Y38" s="215" t="str">
        <f t="shared" si="14"/>
        <v>OK</v>
      </c>
      <c r="Z38" s="216">
        <f t="shared" si="15"/>
        <v>251.52674852637713</v>
      </c>
      <c r="AA38" s="216" t="str">
        <f t="shared" si="16"/>
        <v>OK</v>
      </c>
      <c r="AB38" s="216">
        <f t="shared" si="17"/>
        <v>343.4664664989187</v>
      </c>
      <c r="AC38" s="216" t="str">
        <f t="shared" si="18"/>
        <v>OK</v>
      </c>
      <c r="AD38" s="216">
        <f t="shared" si="19"/>
        <v>167.81035392268797</v>
      </c>
      <c r="AE38" s="216" t="str">
        <f t="shared" si="20"/>
        <v>OK</v>
      </c>
      <c r="AF38" s="216">
        <f t="shared" si="21"/>
        <v>113.03230756478222</v>
      </c>
      <c r="AG38" s="216" t="str">
        <f t="shared" si="22"/>
        <v>OK</v>
      </c>
      <c r="AH38" s="215">
        <f t="shared" si="23"/>
        <v>423.7441317457074</v>
      </c>
      <c r="AI38" s="217" t="str">
        <f t="shared" si="24"/>
        <v>OK</v>
      </c>
      <c r="AJ38" s="217">
        <f t="shared" si="25"/>
        <v>308.0584836277613</v>
      </c>
      <c r="AK38" s="218">
        <f t="shared" si="28"/>
      </c>
      <c r="AL38" s="218">
        <f t="shared" si="29"/>
      </c>
      <c r="AM38" s="154"/>
    </row>
    <row r="39" spans="1:39" ht="15" customHeight="1">
      <c r="A39" s="482"/>
      <c r="B39" s="222"/>
      <c r="C39" s="211"/>
      <c r="D39" s="212"/>
      <c r="E39" s="200">
        <f t="shared" si="2"/>
        <v>33</v>
      </c>
      <c r="F39" s="213">
        <f t="shared" si="0"/>
        <v>17.818574514038875</v>
      </c>
      <c r="G39" s="477"/>
      <c r="H39" s="219"/>
      <c r="I39" s="219"/>
      <c r="J39" s="195"/>
      <c r="K39" s="478"/>
      <c r="L39" s="204">
        <f t="shared" si="1"/>
        <v>10.89</v>
      </c>
      <c r="M39" s="205">
        <f t="shared" si="3"/>
        <v>3.3962374695080992</v>
      </c>
      <c r="O39" s="214" t="str">
        <f t="shared" si="4"/>
        <v>OK</v>
      </c>
      <c r="P39" s="214">
        <f t="shared" si="5"/>
        <v>258.2838595560909</v>
      </c>
      <c r="Q39" s="214" t="str">
        <f t="shared" si="6"/>
        <v>OK</v>
      </c>
      <c r="R39" s="214">
        <f t="shared" si="7"/>
        <v>74.62249472672478</v>
      </c>
      <c r="S39" s="214" t="str">
        <f t="shared" si="8"/>
        <v>OK</v>
      </c>
      <c r="T39" s="214">
        <f t="shared" si="9"/>
        <v>61.573443794193786</v>
      </c>
      <c r="U39" s="214" t="str">
        <f t="shared" si="10"/>
        <v>OK</v>
      </c>
      <c r="V39" s="214">
        <f t="shared" si="11"/>
        <v>42.64949547212506</v>
      </c>
      <c r="W39" s="215" t="str">
        <f t="shared" si="12"/>
        <v>OK</v>
      </c>
      <c r="X39" s="216">
        <f t="shared" si="13"/>
        <v>365.2685371262915</v>
      </c>
      <c r="Y39" s="215" t="str">
        <f t="shared" si="14"/>
        <v>OK</v>
      </c>
      <c r="Z39" s="216">
        <f t="shared" si="15"/>
        <v>267.4928018996335</v>
      </c>
      <c r="AA39" s="216" t="str">
        <f t="shared" si="16"/>
        <v>OK</v>
      </c>
      <c r="AB39" s="216">
        <f t="shared" si="17"/>
        <v>365.2685371262915</v>
      </c>
      <c r="AC39" s="216" t="str">
        <f t="shared" si="18"/>
        <v>OK</v>
      </c>
      <c r="AD39" s="216">
        <f t="shared" si="19"/>
        <v>178.46237834160863</v>
      </c>
      <c r="AE39" s="216" t="str">
        <f t="shared" si="20"/>
        <v>OK</v>
      </c>
      <c r="AF39" s="216">
        <f t="shared" si="21"/>
        <v>120.20720990043733</v>
      </c>
      <c r="AG39" s="216" t="str">
        <f t="shared" si="22"/>
        <v>OK</v>
      </c>
      <c r="AH39" s="215">
        <f t="shared" si="23"/>
        <v>450.64195260847214</v>
      </c>
      <c r="AI39" s="217" t="str">
        <f t="shared" si="24"/>
        <v>OK</v>
      </c>
      <c r="AJ39" s="217">
        <f t="shared" si="25"/>
        <v>327.61297721741414</v>
      </c>
      <c r="AK39" s="218">
        <f t="shared" si="28"/>
      </c>
      <c r="AL39" s="218">
        <f t="shared" si="29"/>
      </c>
      <c r="AM39" s="154"/>
    </row>
    <row r="40" spans="1:39" ht="15" customHeight="1">
      <c r="A40" s="482"/>
      <c r="B40" s="222"/>
      <c r="C40" s="211"/>
      <c r="D40" s="212"/>
      <c r="E40" s="200">
        <f t="shared" si="2"/>
        <v>34</v>
      </c>
      <c r="F40" s="213">
        <f t="shared" si="0"/>
        <v>18.3585313174946</v>
      </c>
      <c r="G40" s="477"/>
      <c r="H40" s="219"/>
      <c r="I40" s="219"/>
      <c r="J40" s="195"/>
      <c r="K40" s="478"/>
      <c r="L40" s="204">
        <f t="shared" si="1"/>
        <v>11.559999999999999</v>
      </c>
      <c r="M40" s="205">
        <f t="shared" si="3"/>
        <v>3.6051887187799463</v>
      </c>
      <c r="O40" s="214" t="str">
        <f t="shared" si="4"/>
        <v>OK</v>
      </c>
      <c r="P40" s="214">
        <f t="shared" si="5"/>
        <v>274.1746020632148</v>
      </c>
      <c r="Q40" s="214" t="str">
        <f t="shared" si="6"/>
        <v>OK</v>
      </c>
      <c r="R40" s="214">
        <f t="shared" si="7"/>
        <v>79.21359403498055</v>
      </c>
      <c r="S40" s="214" t="str">
        <f t="shared" si="8"/>
        <v>OK</v>
      </c>
      <c r="T40" s="214">
        <f t="shared" si="9"/>
        <v>65.36170893121027</v>
      </c>
      <c r="U40" s="214" t="str">
        <f t="shared" si="10"/>
        <v>OK</v>
      </c>
      <c r="V40" s="214">
        <f t="shared" si="11"/>
        <v>45.27347728721447</v>
      </c>
      <c r="W40" s="215" t="str">
        <f t="shared" si="12"/>
        <v>OK</v>
      </c>
      <c r="X40" s="216">
        <f t="shared" si="13"/>
        <v>387.74144069604483</v>
      </c>
      <c r="Y40" s="215" t="str">
        <f t="shared" si="14"/>
        <v>OK</v>
      </c>
      <c r="Z40" s="216">
        <f t="shared" si="15"/>
        <v>283.9501184536054</v>
      </c>
      <c r="AA40" s="216" t="str">
        <f t="shared" si="16"/>
        <v>OK</v>
      </c>
      <c r="AB40" s="216">
        <f t="shared" si="17"/>
        <v>387.74144069604483</v>
      </c>
      <c r="AC40" s="216" t="str">
        <f t="shared" si="18"/>
        <v>OK</v>
      </c>
      <c r="AD40" s="216">
        <f t="shared" si="19"/>
        <v>189.44215735803442</v>
      </c>
      <c r="AE40" s="216" t="str">
        <f t="shared" si="20"/>
        <v>OK</v>
      </c>
      <c r="AF40" s="216">
        <f t="shared" si="21"/>
        <v>127.60287846180489</v>
      </c>
      <c r="AG40" s="216" t="str">
        <f t="shared" si="22"/>
        <v>OK</v>
      </c>
      <c r="AH40" s="215">
        <f t="shared" si="23"/>
        <v>478.3673987285524</v>
      </c>
      <c r="AI40" s="217" t="str">
        <f t="shared" si="24"/>
        <v>OK</v>
      </c>
      <c r="AJ40" s="217">
        <f t="shared" si="25"/>
        <v>347.7691475329023</v>
      </c>
      <c r="AK40" s="218">
        <f t="shared" si="28"/>
      </c>
      <c r="AL40" s="218">
        <f t="shared" si="29"/>
      </c>
      <c r="AM40" s="154"/>
    </row>
    <row r="41" spans="1:39" ht="15" customHeight="1">
      <c r="A41" s="482"/>
      <c r="B41" s="222"/>
      <c r="C41" s="211"/>
      <c r="D41" s="212"/>
      <c r="E41" s="200">
        <f t="shared" si="2"/>
        <v>35</v>
      </c>
      <c r="F41" s="213">
        <f t="shared" si="0"/>
        <v>18.898488120950322</v>
      </c>
      <c r="G41" s="477"/>
      <c r="H41" s="219"/>
      <c r="I41" s="219"/>
      <c r="J41" s="195"/>
      <c r="K41" s="478"/>
      <c r="L41" s="204">
        <f t="shared" si="1"/>
        <v>12.25</v>
      </c>
      <c r="M41" s="205">
        <f t="shared" si="3"/>
        <v>3.820377318776328</v>
      </c>
      <c r="O41" s="214" t="str">
        <f t="shared" si="4"/>
        <v>OK</v>
      </c>
      <c r="P41" s="214">
        <f t="shared" si="5"/>
        <v>290.53969509293967</v>
      </c>
      <c r="Q41" s="214" t="str">
        <f t="shared" si="6"/>
        <v>OK</v>
      </c>
      <c r="R41" s="214">
        <f t="shared" si="7"/>
        <v>83.9417410837813</v>
      </c>
      <c r="S41" s="214" t="str">
        <f t="shared" si="8"/>
        <v>OK</v>
      </c>
      <c r="T41" s="214">
        <f t="shared" si="9"/>
        <v>69.2630566096303</v>
      </c>
      <c r="U41" s="214" t="str">
        <f t="shared" si="10"/>
        <v>OK</v>
      </c>
      <c r="V41" s="214">
        <f t="shared" si="11"/>
        <v>47.9757869176797</v>
      </c>
      <c r="W41" s="215" t="str">
        <f t="shared" si="12"/>
        <v>OK</v>
      </c>
      <c r="X41" s="216">
        <f t="shared" si="13"/>
        <v>410.8851772081791</v>
      </c>
      <c r="Y41" s="215" t="str">
        <f t="shared" si="14"/>
        <v>OK</v>
      </c>
      <c r="Z41" s="216">
        <f t="shared" si="15"/>
        <v>300.89869818829294</v>
      </c>
      <c r="AA41" s="216" t="str">
        <f t="shared" si="16"/>
        <v>OK</v>
      </c>
      <c r="AB41" s="216">
        <f t="shared" si="17"/>
        <v>410.8851772081791</v>
      </c>
      <c r="AC41" s="216" t="str">
        <f t="shared" si="18"/>
        <v>OK</v>
      </c>
      <c r="AD41" s="216">
        <f t="shared" si="19"/>
        <v>200.7496909719656</v>
      </c>
      <c r="AE41" s="216" t="str">
        <f t="shared" si="20"/>
        <v>OK</v>
      </c>
      <c r="AF41" s="216">
        <f t="shared" si="21"/>
        <v>135.219313248885</v>
      </c>
      <c r="AG41" s="216" t="str">
        <f t="shared" si="22"/>
        <v>OK</v>
      </c>
      <c r="AH41" s="215">
        <f t="shared" si="23"/>
        <v>506.9204701059488</v>
      </c>
      <c r="AI41" s="217" t="str">
        <f t="shared" si="24"/>
        <v>OK</v>
      </c>
      <c r="AJ41" s="217">
        <f t="shared" si="25"/>
        <v>368.5269945742261</v>
      </c>
      <c r="AK41" s="218">
        <f t="shared" si="28"/>
      </c>
      <c r="AL41" s="218">
        <f t="shared" si="29"/>
      </c>
      <c r="AM41" s="154"/>
    </row>
    <row r="42" spans="1:39" ht="15" customHeight="1">
      <c r="A42" s="482"/>
      <c r="B42" s="222"/>
      <c r="C42" s="211"/>
      <c r="D42" s="212"/>
      <c r="E42" s="200">
        <f t="shared" si="2"/>
        <v>36</v>
      </c>
      <c r="F42" s="213">
        <f t="shared" si="0"/>
        <v>19.438444924406046</v>
      </c>
      <c r="G42" s="477"/>
      <c r="H42" s="219"/>
      <c r="I42" s="219"/>
      <c r="J42" s="195"/>
      <c r="K42" s="478"/>
      <c r="L42" s="204">
        <f t="shared" si="1"/>
        <v>12.959999999999999</v>
      </c>
      <c r="M42" s="205">
        <f t="shared" si="3"/>
        <v>4.041803269497241</v>
      </c>
      <c r="O42" s="214" t="str">
        <f t="shared" si="4"/>
        <v>OK</v>
      </c>
      <c r="P42" s="214">
        <f t="shared" si="5"/>
        <v>307.37913864526513</v>
      </c>
      <c r="Q42" s="214" t="str">
        <f t="shared" si="6"/>
        <v>OK</v>
      </c>
      <c r="R42" s="214">
        <f t="shared" si="7"/>
        <v>88.80693587312697</v>
      </c>
      <c r="S42" s="214" t="str">
        <f t="shared" si="8"/>
        <v>OK</v>
      </c>
      <c r="T42" s="214">
        <f t="shared" si="9"/>
        <v>73.27748682945375</v>
      </c>
      <c r="U42" s="214" t="str">
        <f t="shared" si="10"/>
        <v>OK</v>
      </c>
      <c r="V42" s="214">
        <f t="shared" si="11"/>
        <v>50.75642436352072</v>
      </c>
      <c r="W42" s="215" t="str">
        <f t="shared" si="12"/>
        <v>OK</v>
      </c>
      <c r="X42" s="216">
        <f t="shared" si="13"/>
        <v>434.69974666269394</v>
      </c>
      <c r="Y42" s="215" t="str">
        <f t="shared" si="14"/>
        <v>OK</v>
      </c>
      <c r="Z42" s="216">
        <f t="shared" si="15"/>
        <v>318.338541103696</v>
      </c>
      <c r="AA42" s="216" t="str">
        <f t="shared" si="16"/>
        <v>OK</v>
      </c>
      <c r="AB42" s="216">
        <f t="shared" si="17"/>
        <v>434.69974666269394</v>
      </c>
      <c r="AC42" s="216" t="str">
        <f t="shared" si="18"/>
        <v>OK</v>
      </c>
      <c r="AD42" s="216">
        <f t="shared" si="19"/>
        <v>212.38497918340195</v>
      </c>
      <c r="AE42" s="216" t="str">
        <f t="shared" si="20"/>
        <v>OK</v>
      </c>
      <c r="AF42" s="216">
        <f t="shared" si="21"/>
        <v>143.05651426167748</v>
      </c>
      <c r="AG42" s="216" t="str">
        <f t="shared" si="22"/>
        <v>OK</v>
      </c>
      <c r="AH42" s="215">
        <f t="shared" si="23"/>
        <v>536.301166740661</v>
      </c>
      <c r="AI42" s="217" t="str">
        <f t="shared" si="24"/>
        <v>OK</v>
      </c>
      <c r="AJ42" s="217">
        <f t="shared" si="25"/>
        <v>389.8865183413853</v>
      </c>
      <c r="AK42" s="218">
        <f t="shared" si="28"/>
      </c>
      <c r="AL42" s="218">
        <f t="shared" si="29"/>
      </c>
      <c r="AM42" s="154"/>
    </row>
    <row r="43" spans="1:39" ht="15" customHeight="1">
      <c r="A43" s="482"/>
      <c r="B43" s="222"/>
      <c r="C43" s="211"/>
      <c r="D43" s="212"/>
      <c r="E43" s="200">
        <f t="shared" si="2"/>
        <v>37</v>
      </c>
      <c r="F43" s="213">
        <f t="shared" si="0"/>
        <v>19.97840172786177</v>
      </c>
      <c r="G43" s="477"/>
      <c r="H43" s="219"/>
      <c r="I43" s="219"/>
      <c r="J43" s="195"/>
      <c r="K43" s="478"/>
      <c r="L43" s="204">
        <f t="shared" si="1"/>
        <v>13.69</v>
      </c>
      <c r="M43" s="205">
        <f t="shared" si="3"/>
        <v>4.269466570942688</v>
      </c>
      <c r="O43" s="214" t="str">
        <f t="shared" si="4"/>
        <v>OK</v>
      </c>
      <c r="P43" s="214">
        <f t="shared" si="5"/>
        <v>324.6929327201914</v>
      </c>
      <c r="Q43" s="214" t="str">
        <f t="shared" si="6"/>
        <v>OK</v>
      </c>
      <c r="R43" s="214">
        <f t="shared" si="7"/>
        <v>93.80917840301763</v>
      </c>
      <c r="S43" s="214" t="str">
        <f t="shared" si="8"/>
        <v>OK</v>
      </c>
      <c r="T43" s="214">
        <f t="shared" si="9"/>
        <v>77.40499959068072</v>
      </c>
      <c r="U43" s="214" t="str">
        <f t="shared" si="10"/>
        <v>OK</v>
      </c>
      <c r="V43" s="214">
        <f t="shared" si="11"/>
        <v>53.61538962473756</v>
      </c>
      <c r="W43" s="215" t="str">
        <f t="shared" si="12"/>
        <v>OK</v>
      </c>
      <c r="X43" s="216">
        <f t="shared" si="13"/>
        <v>459.18514905958955</v>
      </c>
      <c r="Y43" s="215" t="str">
        <f t="shared" si="14"/>
        <v>OK</v>
      </c>
      <c r="Z43" s="216">
        <f t="shared" si="15"/>
        <v>336.2696471998147</v>
      </c>
      <c r="AA43" s="216" t="str">
        <f t="shared" si="16"/>
        <v>OK</v>
      </c>
      <c r="AB43" s="216">
        <f t="shared" si="17"/>
        <v>459.18514905958955</v>
      </c>
      <c r="AC43" s="216" t="str">
        <f t="shared" si="18"/>
        <v>OK</v>
      </c>
      <c r="AD43" s="216">
        <f t="shared" si="19"/>
        <v>224.3480219923436</v>
      </c>
      <c r="AE43" s="216" t="str">
        <f t="shared" si="20"/>
        <v>OK</v>
      </c>
      <c r="AF43" s="216">
        <f t="shared" si="21"/>
        <v>151.11448150018248</v>
      </c>
      <c r="AG43" s="216" t="str">
        <f t="shared" si="22"/>
        <v>OK</v>
      </c>
      <c r="AH43" s="215">
        <f t="shared" si="23"/>
        <v>566.509488632689</v>
      </c>
      <c r="AI43" s="217" t="str">
        <f t="shared" si="24"/>
        <v>OK</v>
      </c>
      <c r="AJ43" s="217">
        <f t="shared" si="25"/>
        <v>411.84771883438003</v>
      </c>
      <c r="AK43" s="218">
        <f t="shared" si="28"/>
      </c>
      <c r="AL43" s="218">
        <f t="shared" si="29"/>
      </c>
      <c r="AM43" s="154"/>
    </row>
    <row r="44" spans="1:39" ht="15" customHeight="1">
      <c r="A44" s="482"/>
      <c r="B44" s="222"/>
      <c r="C44" s="211"/>
      <c r="D44" s="212"/>
      <c r="E44" s="200">
        <f t="shared" si="2"/>
        <v>38</v>
      </c>
      <c r="F44" s="213">
        <f t="shared" si="0"/>
        <v>20.518358531317492</v>
      </c>
      <c r="G44" s="477"/>
      <c r="H44" s="219"/>
      <c r="I44" s="219"/>
      <c r="J44" s="195"/>
      <c r="K44" s="478"/>
      <c r="L44" s="204">
        <f t="shared" si="1"/>
        <v>14.44</v>
      </c>
      <c r="M44" s="205">
        <f t="shared" si="3"/>
        <v>4.503367223112668</v>
      </c>
      <c r="O44" s="214" t="str">
        <f t="shared" si="4"/>
        <v>OK</v>
      </c>
      <c r="P44" s="214">
        <f t="shared" si="5"/>
        <v>342.4810773177183</v>
      </c>
      <c r="Q44" s="214" t="str">
        <f t="shared" si="6"/>
        <v>OK</v>
      </c>
      <c r="R44" s="214">
        <f t="shared" si="7"/>
        <v>98.94846867345323</v>
      </c>
      <c r="S44" s="214" t="str">
        <f t="shared" si="8"/>
        <v>OK</v>
      </c>
      <c r="T44" s="214">
        <f t="shared" si="9"/>
        <v>81.64559489331114</v>
      </c>
      <c r="U44" s="214" t="str">
        <f t="shared" si="10"/>
        <v>OK</v>
      </c>
      <c r="V44" s="214">
        <f t="shared" si="11"/>
        <v>56.5526827013302</v>
      </c>
      <c r="W44" s="215" t="str">
        <f t="shared" si="12"/>
        <v>OK</v>
      </c>
      <c r="X44" s="216">
        <f t="shared" si="13"/>
        <v>484.34138439886584</v>
      </c>
      <c r="Y44" s="215" t="str">
        <f t="shared" si="14"/>
        <v>OK</v>
      </c>
      <c r="Z44" s="216">
        <f t="shared" si="15"/>
        <v>354.69201647664903</v>
      </c>
      <c r="AA44" s="216" t="str">
        <f t="shared" si="16"/>
        <v>OK</v>
      </c>
      <c r="AB44" s="216">
        <f t="shared" si="17"/>
        <v>484.34138439886584</v>
      </c>
      <c r="AC44" s="216" t="str">
        <f t="shared" si="18"/>
        <v>OK</v>
      </c>
      <c r="AD44" s="216">
        <f t="shared" si="19"/>
        <v>236.63881939879047</v>
      </c>
      <c r="AE44" s="216" t="str">
        <f t="shared" si="20"/>
        <v>OK</v>
      </c>
      <c r="AF44" s="216">
        <f t="shared" si="21"/>
        <v>159.39321496439993</v>
      </c>
      <c r="AG44" s="216" t="str">
        <f t="shared" si="22"/>
        <v>OK</v>
      </c>
      <c r="AH44" s="215">
        <f t="shared" si="23"/>
        <v>597.5454357820328</v>
      </c>
      <c r="AI44" s="217" t="str">
        <f t="shared" si="24"/>
        <v>OK</v>
      </c>
      <c r="AJ44" s="217">
        <f t="shared" si="25"/>
        <v>434.41059605321027</v>
      </c>
      <c r="AK44" s="218">
        <f t="shared" si="28"/>
      </c>
      <c r="AL44" s="218">
        <f t="shared" si="29"/>
      </c>
      <c r="AM44" s="154"/>
    </row>
    <row r="45" spans="1:39" ht="15" customHeight="1">
      <c r="A45" s="482">
        <v>6</v>
      </c>
      <c r="B45" s="222"/>
      <c r="C45" s="211"/>
      <c r="D45" s="212"/>
      <c r="E45" s="200">
        <f t="shared" si="2"/>
        <v>39</v>
      </c>
      <c r="F45" s="213">
        <f t="shared" si="0"/>
        <v>21.058315334773216</v>
      </c>
      <c r="G45" s="477" t="s">
        <v>41</v>
      </c>
      <c r="H45" s="219"/>
      <c r="I45" s="219"/>
      <c r="J45" s="219"/>
      <c r="K45" s="478">
        <v>6</v>
      </c>
      <c r="L45" s="204">
        <f t="shared" si="1"/>
        <v>15.21</v>
      </c>
      <c r="M45" s="205">
        <f t="shared" si="3"/>
        <v>4.74350522600718</v>
      </c>
      <c r="O45" s="214" t="str">
        <f t="shared" si="4"/>
        <v>OK</v>
      </c>
      <c r="P45" s="214">
        <f t="shared" si="5"/>
        <v>360.74357243784596</v>
      </c>
      <c r="Q45" s="214" t="str">
        <f t="shared" si="6"/>
        <v>OK</v>
      </c>
      <c r="R45" s="214">
        <f t="shared" si="7"/>
        <v>104.22480668443377</v>
      </c>
      <c r="S45" s="214" t="str">
        <f t="shared" si="8"/>
        <v>OK</v>
      </c>
      <c r="T45" s="214">
        <f t="shared" si="9"/>
        <v>85.99927273734505</v>
      </c>
      <c r="U45" s="214" t="str">
        <f t="shared" si="10"/>
        <v>OK</v>
      </c>
      <c r="V45" s="214">
        <f t="shared" si="11"/>
        <v>59.568303593298644</v>
      </c>
      <c r="W45" s="215" t="str">
        <f t="shared" si="12"/>
        <v>OK</v>
      </c>
      <c r="X45" s="216">
        <f t="shared" si="13"/>
        <v>510.1684526805228</v>
      </c>
      <c r="Y45" s="215" t="str">
        <f t="shared" si="14"/>
        <v>OK</v>
      </c>
      <c r="Z45" s="216">
        <f t="shared" si="15"/>
        <v>373.6056489341989</v>
      </c>
      <c r="AA45" s="216" t="str">
        <f t="shared" si="16"/>
        <v>OK</v>
      </c>
      <c r="AB45" s="216">
        <f t="shared" si="17"/>
        <v>510.1684526805228</v>
      </c>
      <c r="AC45" s="216" t="str">
        <f t="shared" si="18"/>
        <v>OK</v>
      </c>
      <c r="AD45" s="216">
        <f t="shared" si="19"/>
        <v>249.25737140274262</v>
      </c>
      <c r="AE45" s="216" t="str">
        <f t="shared" si="20"/>
        <v>OK</v>
      </c>
      <c r="AF45" s="216">
        <f t="shared" si="21"/>
        <v>167.89271465432984</v>
      </c>
      <c r="AG45" s="216" t="str">
        <f t="shared" si="22"/>
        <v>OK</v>
      </c>
      <c r="AH45" s="215">
        <f t="shared" si="23"/>
        <v>629.4090081886925</v>
      </c>
      <c r="AI45" s="217" t="str">
        <f t="shared" si="24"/>
        <v>OK</v>
      </c>
      <c r="AJ45" s="217">
        <f t="shared" si="25"/>
        <v>457.57514999787594</v>
      </c>
      <c r="AK45" s="218">
        <f t="shared" si="28"/>
      </c>
      <c r="AL45" s="218">
        <f t="shared" si="29"/>
      </c>
      <c r="AM45" s="154"/>
    </row>
    <row r="46" spans="1:39" ht="15" customHeight="1">
      <c r="A46" s="482"/>
      <c r="B46" s="222"/>
      <c r="C46" s="211"/>
      <c r="D46" s="212"/>
      <c r="E46" s="200">
        <f t="shared" si="2"/>
        <v>40</v>
      </c>
      <c r="F46" s="213">
        <f t="shared" si="0"/>
        <v>21.59827213822894</v>
      </c>
      <c r="G46" s="477"/>
      <c r="H46" s="219"/>
      <c r="I46" s="219"/>
      <c r="J46" s="219"/>
      <c r="K46" s="478"/>
      <c r="L46" s="204">
        <f t="shared" si="1"/>
        <v>16</v>
      </c>
      <c r="M46" s="205">
        <f t="shared" si="3"/>
        <v>4.989880579626224</v>
      </c>
      <c r="O46" s="214" t="str">
        <f t="shared" si="4"/>
        <v>OK</v>
      </c>
      <c r="P46" s="214">
        <f t="shared" si="5"/>
        <v>379.4804180805742</v>
      </c>
      <c r="Q46" s="214" t="str">
        <f t="shared" si="6"/>
        <v>OK</v>
      </c>
      <c r="R46" s="214">
        <f t="shared" si="7"/>
        <v>109.63819243595924</v>
      </c>
      <c r="S46" s="214" t="str">
        <f t="shared" si="8"/>
        <v>OK</v>
      </c>
      <c r="T46" s="214">
        <f t="shared" si="9"/>
        <v>90.4660331227824</v>
      </c>
      <c r="U46" s="214" t="str">
        <f t="shared" si="10"/>
        <v>OK</v>
      </c>
      <c r="V46" s="214">
        <f t="shared" si="11"/>
        <v>62.66225230064287</v>
      </c>
      <c r="W46" s="215" t="str">
        <f t="shared" si="12"/>
        <v>OK</v>
      </c>
      <c r="X46" s="216">
        <f t="shared" si="13"/>
        <v>536.6663539045604</v>
      </c>
      <c r="Y46" s="215" t="str">
        <f t="shared" si="14"/>
        <v>OK</v>
      </c>
      <c r="Z46" s="216">
        <f t="shared" si="15"/>
        <v>393.01054457246425</v>
      </c>
      <c r="AA46" s="216" t="str">
        <f t="shared" si="16"/>
        <v>OK</v>
      </c>
      <c r="AB46" s="216">
        <f t="shared" si="17"/>
        <v>536.6663539045604</v>
      </c>
      <c r="AC46" s="216" t="str">
        <f t="shared" si="18"/>
        <v>OK</v>
      </c>
      <c r="AD46" s="216">
        <f t="shared" si="19"/>
        <v>262.20367800419996</v>
      </c>
      <c r="AE46" s="216" t="str">
        <f t="shared" si="20"/>
        <v>OK</v>
      </c>
      <c r="AF46" s="216">
        <f t="shared" si="21"/>
        <v>176.6129805699722</v>
      </c>
      <c r="AG46" s="216">
        <f t="shared" si="22"/>
      </c>
      <c r="AH46" s="215">
        <f t="shared" si="23"/>
      </c>
      <c r="AI46" s="217" t="str">
        <f t="shared" si="24"/>
        <v>OK</v>
      </c>
      <c r="AJ46" s="217">
        <f t="shared" si="25"/>
        <v>481.3413806683769</v>
      </c>
      <c r="AK46" s="218">
        <f t="shared" si="28"/>
      </c>
      <c r="AL46" s="218">
        <f t="shared" si="29"/>
      </c>
      <c r="AM46" s="154"/>
    </row>
    <row r="47" spans="1:39" ht="15" customHeight="1">
      <c r="A47" s="482"/>
      <c r="B47" s="222"/>
      <c r="C47" s="211"/>
      <c r="D47" s="212"/>
      <c r="E47" s="200">
        <f t="shared" si="2"/>
        <v>41</v>
      </c>
      <c r="F47" s="213">
        <f t="shared" si="0"/>
        <v>22.138228941684662</v>
      </c>
      <c r="G47" s="477"/>
      <c r="H47" s="219"/>
      <c r="I47" s="219"/>
      <c r="J47" s="219"/>
      <c r="K47" s="478"/>
      <c r="L47" s="204">
        <f t="shared" si="1"/>
        <v>16.81</v>
      </c>
      <c r="M47" s="205">
        <f t="shared" si="3"/>
        <v>5.242493283969801</v>
      </c>
      <c r="O47" s="214" t="str">
        <f t="shared" si="4"/>
        <v>OK</v>
      </c>
      <c r="P47" s="214">
        <f t="shared" si="5"/>
        <v>398.6916142459033</v>
      </c>
      <c r="Q47" s="214" t="str">
        <f t="shared" si="6"/>
        <v>OK</v>
      </c>
      <c r="R47" s="214">
        <f t="shared" si="7"/>
        <v>115.18862592802965</v>
      </c>
      <c r="S47" s="214" t="str">
        <f t="shared" si="8"/>
        <v>OK</v>
      </c>
      <c r="T47" s="214">
        <f t="shared" si="9"/>
        <v>95.04587604962326</v>
      </c>
      <c r="U47" s="214" t="str">
        <f t="shared" si="10"/>
        <v>OK</v>
      </c>
      <c r="V47" s="214">
        <f t="shared" si="11"/>
        <v>65.83452882336292</v>
      </c>
      <c r="W47" s="215" t="str">
        <f t="shared" si="12"/>
        <v>OK</v>
      </c>
      <c r="X47" s="216">
        <f t="shared" si="13"/>
        <v>563.8350880709787</v>
      </c>
      <c r="Y47" s="215" t="str">
        <f t="shared" si="14"/>
        <v>OK</v>
      </c>
      <c r="Z47" s="216">
        <f t="shared" si="15"/>
        <v>412.9067033914452</v>
      </c>
      <c r="AA47" s="216" t="str">
        <f t="shared" si="16"/>
        <v>OK</v>
      </c>
      <c r="AB47" s="216">
        <f t="shared" si="17"/>
        <v>563.8350880709787</v>
      </c>
      <c r="AC47" s="216" t="str">
        <f t="shared" si="18"/>
        <v>OK</v>
      </c>
      <c r="AD47" s="216">
        <f t="shared" si="19"/>
        <v>275.47773920316257</v>
      </c>
      <c r="AE47" s="216" t="str">
        <f t="shared" si="20"/>
        <v>OK</v>
      </c>
      <c r="AF47" s="216">
        <f t="shared" si="21"/>
        <v>185.554012711327</v>
      </c>
      <c r="AG47" s="216">
        <f t="shared" si="22"/>
      </c>
      <c r="AH47" s="215">
        <f t="shared" si="23"/>
      </c>
      <c r="AI47" s="217" t="str">
        <f t="shared" si="24"/>
        <v>OK</v>
      </c>
      <c r="AJ47" s="217">
        <f t="shared" si="25"/>
        <v>505.70928806471346</v>
      </c>
      <c r="AK47" s="218">
        <f t="shared" si="28"/>
      </c>
      <c r="AL47" s="218">
        <f t="shared" si="29"/>
      </c>
      <c r="AM47" s="154"/>
    </row>
    <row r="48" spans="1:39" ht="15" customHeight="1">
      <c r="A48" s="482"/>
      <c r="B48" s="222"/>
      <c r="C48" s="211"/>
      <c r="D48" s="212"/>
      <c r="E48" s="200">
        <f t="shared" si="2"/>
        <v>42</v>
      </c>
      <c r="F48" s="213">
        <f t="shared" si="0"/>
        <v>22.67818574514039</v>
      </c>
      <c r="G48" s="477"/>
      <c r="H48" s="219"/>
      <c r="I48" s="219"/>
      <c r="J48" s="219"/>
      <c r="K48" s="478"/>
      <c r="L48" s="204">
        <f t="shared" si="1"/>
        <v>17.64</v>
      </c>
      <c r="M48" s="205">
        <f t="shared" si="3"/>
        <v>5.501343339037913</v>
      </c>
      <c r="O48" s="214">
        <f t="shared" si="4"/>
      </c>
      <c r="P48" s="214">
        <f t="shared" si="5"/>
      </c>
      <c r="Q48" s="214" t="str">
        <f t="shared" si="6"/>
        <v>OK</v>
      </c>
      <c r="R48" s="214">
        <f t="shared" si="7"/>
        <v>120.87610716064508</v>
      </c>
      <c r="S48" s="214" t="str">
        <f t="shared" si="8"/>
        <v>OK</v>
      </c>
      <c r="T48" s="214">
        <f t="shared" si="9"/>
        <v>99.73880151786761</v>
      </c>
      <c r="U48" s="214" t="str">
        <f t="shared" si="10"/>
        <v>OK</v>
      </c>
      <c r="V48" s="214">
        <f t="shared" si="11"/>
        <v>69.08513316145878</v>
      </c>
      <c r="W48" s="215" t="str">
        <f t="shared" si="12"/>
        <v>OK</v>
      </c>
      <c r="X48" s="216">
        <f t="shared" si="13"/>
        <v>591.6746551797779</v>
      </c>
      <c r="Y48" s="215" t="str">
        <f t="shared" si="14"/>
        <v>OK</v>
      </c>
      <c r="Z48" s="216">
        <f t="shared" si="15"/>
        <v>433.2941253911419</v>
      </c>
      <c r="AA48" s="216" t="str">
        <f t="shared" si="16"/>
        <v>OK</v>
      </c>
      <c r="AB48" s="216">
        <f t="shared" si="17"/>
        <v>591.6746551797779</v>
      </c>
      <c r="AC48" s="216" t="str">
        <f t="shared" si="18"/>
        <v>OK</v>
      </c>
      <c r="AD48" s="216">
        <f t="shared" si="19"/>
        <v>289.0795549996305</v>
      </c>
      <c r="AE48" s="216" t="str">
        <f t="shared" si="20"/>
        <v>OK</v>
      </c>
      <c r="AF48" s="216">
        <f t="shared" si="21"/>
        <v>194.71581107839438</v>
      </c>
      <c r="AG48" s="216">
        <f t="shared" si="22"/>
      </c>
      <c r="AH48" s="215">
        <f t="shared" si="23"/>
      </c>
      <c r="AI48" s="217" t="str">
        <f t="shared" si="24"/>
        <v>OK</v>
      </c>
      <c r="AJ48" s="217">
        <f t="shared" si="25"/>
        <v>530.6788721868857</v>
      </c>
      <c r="AK48" s="218">
        <f t="shared" si="28"/>
      </c>
      <c r="AL48" s="218">
        <f t="shared" si="29"/>
      </c>
      <c r="AM48" s="154"/>
    </row>
    <row r="49" spans="1:39" ht="15" customHeight="1">
      <c r="A49" s="482"/>
      <c r="B49" s="222"/>
      <c r="C49" s="211"/>
      <c r="D49" s="212"/>
      <c r="E49" s="200">
        <f t="shared" si="2"/>
        <v>43</v>
      </c>
      <c r="F49" s="213">
        <f t="shared" si="0"/>
        <v>23.218142548596113</v>
      </c>
      <c r="G49" s="477"/>
      <c r="H49" s="219"/>
      <c r="I49" s="219"/>
      <c r="J49" s="219"/>
      <c r="K49" s="478"/>
      <c r="L49" s="204">
        <f t="shared" si="1"/>
        <v>18.490000000000002</v>
      </c>
      <c r="M49" s="205">
        <f t="shared" si="3"/>
        <v>5.766430744830556</v>
      </c>
      <c r="O49" s="214">
        <f t="shared" si="4"/>
      </c>
      <c r="P49" s="214">
        <f t="shared" si="5"/>
      </c>
      <c r="Q49" s="214" t="str">
        <f t="shared" si="6"/>
        <v>OK</v>
      </c>
      <c r="R49" s="214">
        <f t="shared" si="7"/>
        <v>126.70063613380543</v>
      </c>
      <c r="S49" s="214" t="str">
        <f t="shared" si="8"/>
        <v>OK</v>
      </c>
      <c r="T49" s="214">
        <f t="shared" si="9"/>
        <v>104.54480952751545</v>
      </c>
      <c r="U49" s="214" t="str">
        <f t="shared" si="10"/>
        <v>OK</v>
      </c>
      <c r="V49" s="214">
        <f t="shared" si="11"/>
        <v>72.41406531493043</v>
      </c>
      <c r="W49" s="215" t="str">
        <f t="shared" si="12"/>
        <v>OK</v>
      </c>
      <c r="X49" s="216">
        <f t="shared" si="13"/>
        <v>620.1850552309577</v>
      </c>
      <c r="Y49" s="215" t="str">
        <f t="shared" si="14"/>
        <v>OK</v>
      </c>
      <c r="Z49" s="216">
        <f t="shared" si="15"/>
        <v>454.172810571554</v>
      </c>
      <c r="AA49" s="216" t="str">
        <f t="shared" si="16"/>
        <v>OK</v>
      </c>
      <c r="AB49" s="216">
        <f t="shared" si="17"/>
        <v>620.1850552309577</v>
      </c>
      <c r="AC49" s="216" t="str">
        <f t="shared" si="18"/>
        <v>OK</v>
      </c>
      <c r="AD49" s="216">
        <f t="shared" si="19"/>
        <v>303.0091253936036</v>
      </c>
      <c r="AE49" s="216" t="str">
        <f t="shared" si="20"/>
        <v>OK</v>
      </c>
      <c r="AF49" s="216">
        <f t="shared" si="21"/>
        <v>204.09837567117418</v>
      </c>
      <c r="AG49" s="216">
        <f t="shared" si="22"/>
      </c>
      <c r="AH49" s="215">
        <f t="shared" si="23"/>
      </c>
      <c r="AI49" s="217" t="str">
        <f t="shared" si="24"/>
        <v>OK</v>
      </c>
      <c r="AJ49" s="217">
        <f t="shared" si="25"/>
        <v>556.2501330348931</v>
      </c>
      <c r="AK49" s="218">
        <f t="shared" si="28"/>
      </c>
      <c r="AL49" s="218">
        <f t="shared" si="29"/>
      </c>
      <c r="AM49" s="154"/>
    </row>
    <row r="50" spans="1:39" ht="15" customHeight="1">
      <c r="A50" s="482"/>
      <c r="B50" s="222"/>
      <c r="C50" s="211"/>
      <c r="D50" s="212"/>
      <c r="E50" s="200">
        <f t="shared" si="2"/>
        <v>44</v>
      </c>
      <c r="F50" s="213">
        <f t="shared" si="0"/>
        <v>23.758099352051836</v>
      </c>
      <c r="G50" s="477"/>
      <c r="H50" s="219"/>
      <c r="I50" s="219"/>
      <c r="J50" s="219"/>
      <c r="K50" s="478"/>
      <c r="L50" s="204">
        <f t="shared" si="1"/>
        <v>19.36</v>
      </c>
      <c r="M50" s="205">
        <f t="shared" si="3"/>
        <v>6.037755501347731</v>
      </c>
      <c r="O50" s="214">
        <f t="shared" si="4"/>
      </c>
      <c r="P50" s="214">
        <f t="shared" si="5"/>
      </c>
      <c r="Q50" s="214" t="str">
        <f t="shared" si="6"/>
        <v>OK</v>
      </c>
      <c r="R50" s="214">
        <f t="shared" si="7"/>
        <v>132.6622128475107</v>
      </c>
      <c r="S50" s="214" t="str">
        <f t="shared" si="8"/>
        <v>OK</v>
      </c>
      <c r="T50" s="214">
        <f t="shared" si="9"/>
        <v>109.46390007856674</v>
      </c>
      <c r="U50" s="214" t="str">
        <f t="shared" si="10"/>
        <v>OK</v>
      </c>
      <c r="V50" s="214">
        <f t="shared" si="11"/>
        <v>75.82132528377787</v>
      </c>
      <c r="W50" s="215" t="str">
        <f t="shared" si="12"/>
        <v>OK</v>
      </c>
      <c r="X50" s="216">
        <f t="shared" si="13"/>
        <v>649.3662882245181</v>
      </c>
      <c r="Y50" s="215" t="str">
        <f t="shared" si="14"/>
        <v>OK</v>
      </c>
      <c r="Z50" s="216">
        <f t="shared" si="15"/>
        <v>475.5427589326817</v>
      </c>
      <c r="AA50" s="216" t="str">
        <f t="shared" si="16"/>
        <v>OK</v>
      </c>
      <c r="AB50" s="216">
        <f t="shared" si="17"/>
        <v>649.3662882245181</v>
      </c>
      <c r="AC50" s="216" t="str">
        <f t="shared" si="18"/>
        <v>OK</v>
      </c>
      <c r="AD50" s="216">
        <f t="shared" si="19"/>
        <v>317.26645038508195</v>
      </c>
      <c r="AE50" s="216" t="str">
        <f t="shared" si="20"/>
        <v>OK</v>
      </c>
      <c r="AF50" s="216">
        <f t="shared" si="21"/>
        <v>213.70170648966635</v>
      </c>
      <c r="AG50" s="216">
        <f t="shared" si="22"/>
      </c>
      <c r="AH50" s="215">
        <f t="shared" si="23"/>
      </c>
      <c r="AI50" s="217" t="str">
        <f t="shared" si="24"/>
        <v>OK</v>
      </c>
      <c r="AJ50" s="217">
        <f t="shared" si="25"/>
        <v>582.423070608736</v>
      </c>
      <c r="AK50" s="218">
        <f t="shared" si="28"/>
      </c>
      <c r="AL50" s="218">
        <f t="shared" si="29"/>
      </c>
      <c r="AM50" s="154"/>
    </row>
    <row r="51" spans="1:39" ht="15" customHeight="1">
      <c r="A51" s="482"/>
      <c r="B51" s="222"/>
      <c r="C51" s="211"/>
      <c r="D51" s="212"/>
      <c r="E51" s="200">
        <f t="shared" si="2"/>
        <v>45</v>
      </c>
      <c r="F51" s="213">
        <f t="shared" si="0"/>
        <v>24.29805615550756</v>
      </c>
      <c r="G51" s="477"/>
      <c r="H51" s="219"/>
      <c r="I51" s="219"/>
      <c r="J51" s="219"/>
      <c r="K51" s="478"/>
      <c r="L51" s="204">
        <f t="shared" si="1"/>
        <v>20.25</v>
      </c>
      <c r="M51" s="205">
        <f t="shared" si="3"/>
        <v>6.3153176085894405</v>
      </c>
      <c r="O51" s="214">
        <f t="shared" si="4"/>
      </c>
      <c r="P51" s="214">
        <f t="shared" si="5"/>
      </c>
      <c r="Q51" s="214" t="str">
        <f t="shared" si="6"/>
        <v>OK</v>
      </c>
      <c r="R51" s="214">
        <f t="shared" si="7"/>
        <v>138.76083730176094</v>
      </c>
      <c r="S51" s="214" t="str">
        <f t="shared" si="8"/>
        <v>OK</v>
      </c>
      <c r="T51" s="214">
        <f t="shared" si="9"/>
        <v>114.49607317102151</v>
      </c>
      <c r="U51" s="214" t="str">
        <f t="shared" si="10"/>
        <v>OK</v>
      </c>
      <c r="V51" s="214">
        <f t="shared" si="11"/>
        <v>79.30691306800114</v>
      </c>
      <c r="W51" s="215">
        <f t="shared" si="12"/>
      </c>
      <c r="X51" s="216">
        <f t="shared" si="13"/>
      </c>
      <c r="Y51" s="215" t="str">
        <f t="shared" si="14"/>
        <v>OK</v>
      </c>
      <c r="Z51" s="216">
        <f t="shared" si="15"/>
        <v>497.40397047452507</v>
      </c>
      <c r="AA51" s="216">
        <f t="shared" si="16"/>
      </c>
      <c r="AB51" s="216">
        <f t="shared" si="17"/>
      </c>
      <c r="AC51" s="216" t="str">
        <f t="shared" si="18"/>
        <v>OK</v>
      </c>
      <c r="AD51" s="216">
        <f t="shared" si="19"/>
        <v>331.8515299740656</v>
      </c>
      <c r="AE51" s="216" t="str">
        <f t="shared" si="20"/>
        <v>OK</v>
      </c>
      <c r="AF51" s="216">
        <f t="shared" si="21"/>
        <v>223.52580353387108</v>
      </c>
      <c r="AG51" s="216">
        <f t="shared" si="22"/>
      </c>
      <c r="AH51" s="215">
        <f t="shared" si="23"/>
      </c>
      <c r="AI51" s="217" t="str">
        <f t="shared" si="24"/>
        <v>OK</v>
      </c>
      <c r="AJ51" s="217">
        <f t="shared" si="25"/>
        <v>609.1976849084147</v>
      </c>
      <c r="AK51" s="218">
        <f t="shared" si="28"/>
      </c>
      <c r="AL51" s="218">
        <f t="shared" si="29"/>
      </c>
      <c r="AM51" s="154"/>
    </row>
    <row r="52" spans="1:39" ht="15" customHeight="1">
      <c r="A52" s="482"/>
      <c r="B52" s="222"/>
      <c r="C52" s="211"/>
      <c r="D52" s="212"/>
      <c r="E52" s="200">
        <f t="shared" si="2"/>
        <v>46</v>
      </c>
      <c r="F52" s="213">
        <f t="shared" si="0"/>
        <v>24.838012958963283</v>
      </c>
      <c r="G52" s="477"/>
      <c r="H52" s="219"/>
      <c r="I52" s="219"/>
      <c r="J52" s="219"/>
      <c r="K52" s="478"/>
      <c r="L52" s="204">
        <f t="shared" si="1"/>
        <v>21.16</v>
      </c>
      <c r="M52" s="205">
        <f t="shared" si="3"/>
        <v>6.5991170665556815</v>
      </c>
      <c r="O52" s="214">
        <f t="shared" si="4"/>
      </c>
      <c r="P52" s="214">
        <f t="shared" si="5"/>
      </c>
      <c r="Q52" s="214" t="str">
        <f t="shared" si="6"/>
        <v>OK</v>
      </c>
      <c r="R52" s="214">
        <f t="shared" si="7"/>
        <v>144.99650949655611</v>
      </c>
      <c r="S52" s="214" t="str">
        <f t="shared" si="8"/>
        <v>OK</v>
      </c>
      <c r="T52" s="214">
        <f t="shared" si="9"/>
        <v>119.64132880487975</v>
      </c>
      <c r="U52" s="214" t="str">
        <f t="shared" si="10"/>
        <v>OK</v>
      </c>
      <c r="V52" s="214">
        <f t="shared" si="11"/>
        <v>82.8708286676002</v>
      </c>
      <c r="W52" s="215">
        <f t="shared" si="12"/>
      </c>
      <c r="X52" s="216">
        <f t="shared" si="13"/>
      </c>
      <c r="Y52" s="215" t="str">
        <f t="shared" si="14"/>
        <v>OK</v>
      </c>
      <c r="Z52" s="216">
        <f t="shared" si="15"/>
        <v>519.756445197084</v>
      </c>
      <c r="AA52" s="216">
        <f t="shared" si="16"/>
      </c>
      <c r="AB52" s="216">
        <f t="shared" si="17"/>
      </c>
      <c r="AC52" s="216" t="str">
        <f t="shared" si="18"/>
        <v>OK</v>
      </c>
      <c r="AD52" s="216">
        <f t="shared" si="19"/>
        <v>346.76436416055446</v>
      </c>
      <c r="AE52" s="216" t="str">
        <f t="shared" si="20"/>
        <v>OK</v>
      </c>
      <c r="AF52" s="216">
        <f t="shared" si="21"/>
        <v>233.57066680378824</v>
      </c>
      <c r="AG52" s="216">
        <f t="shared" si="22"/>
      </c>
      <c r="AH52" s="215">
        <f t="shared" si="23"/>
      </c>
      <c r="AI52" s="217" t="str">
        <f t="shared" si="24"/>
        <v>OK</v>
      </c>
      <c r="AJ52" s="217">
        <f t="shared" si="25"/>
        <v>636.5739759339285</v>
      </c>
      <c r="AK52" s="218">
        <f t="shared" si="28"/>
      </c>
      <c r="AL52" s="218">
        <f t="shared" si="29"/>
      </c>
      <c r="AM52" s="154"/>
    </row>
    <row r="53" spans="1:39" ht="15" customHeight="1">
      <c r="A53" s="482"/>
      <c r="B53" s="222"/>
      <c r="C53" s="211"/>
      <c r="D53" s="212"/>
      <c r="E53" s="200">
        <f t="shared" si="2"/>
        <v>47</v>
      </c>
      <c r="F53" s="213">
        <f t="shared" si="0"/>
        <v>25.377969762419006</v>
      </c>
      <c r="G53" s="477"/>
      <c r="H53" s="219"/>
      <c r="I53" s="219"/>
      <c r="J53" s="219"/>
      <c r="K53" s="478"/>
      <c r="L53" s="204">
        <f t="shared" si="1"/>
        <v>22.09</v>
      </c>
      <c r="M53" s="205">
        <f t="shared" si="3"/>
        <v>6.889153875246455</v>
      </c>
      <c r="O53" s="214">
        <f t="shared" si="4"/>
      </c>
      <c r="P53" s="214">
        <f t="shared" si="5"/>
      </c>
      <c r="Q53" s="214" t="str">
        <f t="shared" si="6"/>
        <v>OK</v>
      </c>
      <c r="R53" s="214">
        <f t="shared" si="7"/>
        <v>151.3692294318962</v>
      </c>
      <c r="S53" s="214" t="str">
        <f t="shared" si="8"/>
        <v>OK</v>
      </c>
      <c r="T53" s="214">
        <f t="shared" si="9"/>
        <v>124.89966698014145</v>
      </c>
      <c r="U53" s="214" t="str">
        <f t="shared" si="10"/>
        <v>OK</v>
      </c>
      <c r="V53" s="214">
        <f t="shared" si="11"/>
        <v>86.51307208257505</v>
      </c>
      <c r="W53" s="215">
        <f t="shared" si="12"/>
      </c>
      <c r="X53" s="216">
        <f t="shared" si="13"/>
      </c>
      <c r="Y53" s="215" t="str">
        <f t="shared" si="14"/>
        <v>OK</v>
      </c>
      <c r="Z53" s="216">
        <f t="shared" si="15"/>
        <v>542.6001831003583</v>
      </c>
      <c r="AA53" s="216">
        <f t="shared" si="16"/>
      </c>
      <c r="AB53" s="216">
        <f t="shared" si="17"/>
      </c>
      <c r="AC53" s="216" t="str">
        <f t="shared" si="18"/>
        <v>OK</v>
      </c>
      <c r="AD53" s="216">
        <f t="shared" si="19"/>
        <v>362.0049529445485</v>
      </c>
      <c r="AE53" s="216" t="str">
        <f t="shared" si="20"/>
        <v>OK</v>
      </c>
      <c r="AF53" s="216">
        <f t="shared" si="21"/>
        <v>243.83629629941785</v>
      </c>
      <c r="AG53" s="216">
        <f t="shared" si="22"/>
      </c>
      <c r="AH53" s="215">
        <f t="shared" si="23"/>
      </c>
      <c r="AI53" s="217">
        <f t="shared" si="24"/>
      </c>
      <c r="AJ53" s="217">
        <f t="shared" si="25"/>
      </c>
      <c r="AK53" s="218">
        <f t="shared" si="28"/>
      </c>
      <c r="AL53" s="218">
        <f t="shared" si="29"/>
      </c>
      <c r="AM53" s="154"/>
    </row>
    <row r="54" spans="1:39" ht="15" customHeight="1">
      <c r="A54" s="482"/>
      <c r="B54" s="222"/>
      <c r="C54" s="211"/>
      <c r="D54" s="212"/>
      <c r="E54" s="200">
        <f t="shared" si="2"/>
        <v>48</v>
      </c>
      <c r="F54" s="213">
        <f t="shared" si="0"/>
        <v>25.91792656587473</v>
      </c>
      <c r="G54" s="477"/>
      <c r="H54" s="219"/>
      <c r="I54" s="219"/>
      <c r="J54" s="219"/>
      <c r="K54" s="478"/>
      <c r="L54" s="204">
        <f t="shared" si="1"/>
        <v>23.04</v>
      </c>
      <c r="M54" s="205">
        <f t="shared" si="3"/>
        <v>7.185428034661763</v>
      </c>
      <c r="O54" s="214">
        <f t="shared" si="4"/>
      </c>
      <c r="P54" s="214">
        <f t="shared" si="5"/>
      </c>
      <c r="Q54" s="214" t="str">
        <f t="shared" si="6"/>
        <v>OK</v>
      </c>
      <c r="R54" s="214">
        <f t="shared" si="7"/>
        <v>157.87899710778132</v>
      </c>
      <c r="S54" s="214" t="str">
        <f t="shared" si="8"/>
        <v>OK</v>
      </c>
      <c r="T54" s="214">
        <f t="shared" si="9"/>
        <v>130.2710876968067</v>
      </c>
      <c r="U54" s="214" t="str">
        <f t="shared" si="10"/>
        <v>OK</v>
      </c>
      <c r="V54" s="214">
        <f t="shared" si="11"/>
        <v>90.23364331292574</v>
      </c>
      <c r="W54" s="215">
        <f t="shared" si="12"/>
      </c>
      <c r="X54" s="216">
        <f t="shared" si="13"/>
      </c>
      <c r="Y54" s="215" t="str">
        <f t="shared" si="14"/>
        <v>OK</v>
      </c>
      <c r="Z54" s="216">
        <f t="shared" si="15"/>
        <v>565.9351841843486</v>
      </c>
      <c r="AA54" s="216">
        <f t="shared" si="16"/>
      </c>
      <c r="AB54" s="216">
        <f t="shared" si="17"/>
      </c>
      <c r="AC54" s="216" t="str">
        <f t="shared" si="18"/>
        <v>OK</v>
      </c>
      <c r="AD54" s="216">
        <f t="shared" si="19"/>
        <v>377.57329632604797</v>
      </c>
      <c r="AE54" s="216" t="str">
        <f t="shared" si="20"/>
        <v>OK</v>
      </c>
      <c r="AF54" s="216">
        <f t="shared" si="21"/>
        <v>254.32269202076</v>
      </c>
      <c r="AG54" s="216">
        <f t="shared" si="22"/>
      </c>
      <c r="AH54" s="215">
        <f t="shared" si="23"/>
      </c>
      <c r="AI54" s="217">
        <f t="shared" si="24"/>
      </c>
      <c r="AJ54" s="217">
        <f t="shared" si="25"/>
      </c>
      <c r="AK54" s="218">
        <f t="shared" si="28"/>
      </c>
      <c r="AL54" s="218">
        <f t="shared" si="29"/>
      </c>
      <c r="AM54" s="154"/>
    </row>
    <row r="55" spans="1:39" ht="15" customHeight="1">
      <c r="A55" s="482"/>
      <c r="B55" s="222"/>
      <c r="C55" s="211"/>
      <c r="D55" s="212"/>
      <c r="E55" s="200">
        <f t="shared" si="2"/>
        <v>49</v>
      </c>
      <c r="F55" s="213">
        <f t="shared" si="0"/>
        <v>26.457883369330453</v>
      </c>
      <c r="G55" s="477"/>
      <c r="H55" s="219"/>
      <c r="I55" s="219"/>
      <c r="J55" s="219"/>
      <c r="K55" s="478"/>
      <c r="L55" s="204">
        <f t="shared" si="1"/>
        <v>24.01</v>
      </c>
      <c r="M55" s="205">
        <f t="shared" si="3"/>
        <v>7.487939544801603</v>
      </c>
      <c r="O55" s="214">
        <f t="shared" si="4"/>
      </c>
      <c r="P55" s="214">
        <f t="shared" si="5"/>
      </c>
      <c r="Q55" s="214" t="str">
        <f t="shared" si="6"/>
        <v>OK</v>
      </c>
      <c r="R55" s="214">
        <f t="shared" si="7"/>
        <v>164.52581252421135</v>
      </c>
      <c r="S55" s="214" t="str">
        <f t="shared" si="8"/>
        <v>OK</v>
      </c>
      <c r="T55" s="214">
        <f t="shared" si="9"/>
        <v>135.75559095487534</v>
      </c>
      <c r="U55" s="214" t="str">
        <f t="shared" si="10"/>
        <v>OK</v>
      </c>
      <c r="V55" s="214">
        <f t="shared" si="11"/>
        <v>94.03254235865222</v>
      </c>
      <c r="W55" s="215">
        <f t="shared" si="12"/>
      </c>
      <c r="X55" s="216">
        <f t="shared" si="13"/>
      </c>
      <c r="Y55" s="215" t="str">
        <f t="shared" si="14"/>
        <v>OK</v>
      </c>
      <c r="Z55" s="216">
        <f t="shared" si="15"/>
        <v>589.7614484490541</v>
      </c>
      <c r="AA55" s="216">
        <f t="shared" si="16"/>
      </c>
      <c r="AB55" s="216">
        <f t="shared" si="17"/>
      </c>
      <c r="AC55" s="216" t="str">
        <f t="shared" si="18"/>
        <v>OK</v>
      </c>
      <c r="AD55" s="216">
        <f t="shared" si="19"/>
        <v>393.4693943050526</v>
      </c>
      <c r="AE55" s="216" t="str">
        <f t="shared" si="20"/>
        <v>OK</v>
      </c>
      <c r="AF55" s="216">
        <f t="shared" si="21"/>
        <v>265.0298539678145</v>
      </c>
      <c r="AG55" s="216">
        <f t="shared" si="22"/>
      </c>
      <c r="AH55" s="215">
        <f t="shared" si="23"/>
      </c>
      <c r="AI55" s="217">
        <f t="shared" si="24"/>
      </c>
      <c r="AJ55" s="217">
        <f t="shared" si="25"/>
      </c>
      <c r="AK55" s="218">
        <f t="shared" si="28"/>
      </c>
      <c r="AL55" s="218">
        <f t="shared" si="29"/>
      </c>
      <c r="AM55" s="154"/>
    </row>
    <row r="56" spans="1:39" ht="15" customHeight="1">
      <c r="A56" s="482">
        <v>7</v>
      </c>
      <c r="B56" s="222"/>
      <c r="C56" s="222"/>
      <c r="D56" s="212"/>
      <c r="E56" s="200">
        <f t="shared" si="2"/>
        <v>50</v>
      </c>
      <c r="F56" s="213">
        <f t="shared" si="0"/>
        <v>26.997840172786177</v>
      </c>
      <c r="G56" s="477" t="s">
        <v>42</v>
      </c>
      <c r="H56" s="219"/>
      <c r="I56" s="219"/>
      <c r="J56" s="219"/>
      <c r="K56" s="478">
        <v>9</v>
      </c>
      <c r="L56" s="204">
        <f t="shared" si="1"/>
        <v>25</v>
      </c>
      <c r="M56" s="205">
        <f t="shared" si="3"/>
        <v>7.796688405665975</v>
      </c>
      <c r="O56" s="214">
        <f t="shared" si="4"/>
      </c>
      <c r="P56" s="214">
        <f t="shared" si="5"/>
      </c>
      <c r="Q56" s="214" t="str">
        <f t="shared" si="6"/>
        <v>OK</v>
      </c>
      <c r="R56" s="214">
        <f t="shared" si="7"/>
        <v>171.30967568118632</v>
      </c>
      <c r="S56" s="214" t="str">
        <f t="shared" si="8"/>
        <v>OK</v>
      </c>
      <c r="T56" s="214">
        <f t="shared" si="9"/>
        <v>141.35317675434752</v>
      </c>
      <c r="U56" s="214" t="str">
        <f t="shared" si="10"/>
        <v>OK</v>
      </c>
      <c r="V56" s="214">
        <f t="shared" si="11"/>
        <v>97.9097692197545</v>
      </c>
      <c r="W56" s="215">
        <f t="shared" si="12"/>
      </c>
      <c r="X56" s="216">
        <f t="shared" si="13"/>
      </c>
      <c r="Y56" s="215" t="str">
        <f t="shared" si="14"/>
        <v>OK</v>
      </c>
      <c r="Z56" s="216">
        <f t="shared" si="15"/>
        <v>614.0789758944753</v>
      </c>
      <c r="AA56" s="216">
        <f t="shared" si="16"/>
      </c>
      <c r="AB56" s="216">
        <f t="shared" si="17"/>
      </c>
      <c r="AC56" s="216" t="str">
        <f t="shared" si="18"/>
        <v>OK</v>
      </c>
      <c r="AD56" s="216">
        <f t="shared" si="19"/>
        <v>409.69324688156246</v>
      </c>
      <c r="AE56" s="216" t="str">
        <f t="shared" si="20"/>
        <v>OK</v>
      </c>
      <c r="AF56" s="216">
        <f t="shared" si="21"/>
        <v>275.95778214058157</v>
      </c>
      <c r="AG56" s="216">
        <f t="shared" si="22"/>
      </c>
      <c r="AH56" s="215">
        <f t="shared" si="23"/>
      </c>
      <c r="AI56" s="217">
        <f t="shared" si="24"/>
      </c>
      <c r="AJ56" s="217">
        <f t="shared" si="25"/>
      </c>
      <c r="AK56" s="218">
        <f t="shared" si="28"/>
      </c>
      <c r="AL56" s="218">
        <f t="shared" si="29"/>
      </c>
      <c r="AM56" s="154"/>
    </row>
    <row r="57" spans="1:39" ht="15" customHeight="1">
      <c r="A57" s="482"/>
      <c r="B57" s="222"/>
      <c r="C57" s="222"/>
      <c r="D57" s="212"/>
      <c r="E57" s="200">
        <f t="shared" si="2"/>
        <v>51</v>
      </c>
      <c r="F57" s="213">
        <f t="shared" si="0"/>
        <v>27.5377969762419</v>
      </c>
      <c r="G57" s="477"/>
      <c r="H57" s="219"/>
      <c r="I57" s="219"/>
      <c r="J57" s="219"/>
      <c r="K57" s="478"/>
      <c r="L57" s="204">
        <f t="shared" si="1"/>
        <v>26.009999999999998</v>
      </c>
      <c r="M57" s="205">
        <f t="shared" si="3"/>
        <v>8.11167461725488</v>
      </c>
      <c r="O57" s="214">
        <f t="shared" si="4"/>
      </c>
      <c r="P57" s="214">
        <f t="shared" si="5"/>
      </c>
      <c r="Q57" s="214" t="str">
        <f t="shared" si="6"/>
        <v>OK</v>
      </c>
      <c r="R57" s="214">
        <f t="shared" si="7"/>
        <v>178.23058657870624</v>
      </c>
      <c r="S57" s="214" t="str">
        <f t="shared" si="8"/>
        <v>OK</v>
      </c>
      <c r="T57" s="214">
        <f t="shared" si="9"/>
        <v>147.06384509522317</v>
      </c>
      <c r="U57" s="214" t="str">
        <f t="shared" si="10"/>
        <v>OK</v>
      </c>
      <c r="V57" s="214">
        <f t="shared" si="11"/>
        <v>101.86532389623257</v>
      </c>
      <c r="W57" s="215">
        <f t="shared" si="12"/>
      </c>
      <c r="X57" s="216">
        <f t="shared" si="13"/>
      </c>
      <c r="Y57" s="215" t="str">
        <f t="shared" si="14"/>
        <v>OK</v>
      </c>
      <c r="Z57" s="216">
        <f t="shared" si="15"/>
        <v>638.8877665206122</v>
      </c>
      <c r="AA57" s="216">
        <f t="shared" si="16"/>
      </c>
      <c r="AB57" s="216">
        <f t="shared" si="17"/>
      </c>
      <c r="AC57" s="216" t="str">
        <f t="shared" si="18"/>
        <v>OK</v>
      </c>
      <c r="AD57" s="216">
        <f t="shared" si="19"/>
        <v>426.2448540555776</v>
      </c>
      <c r="AE57" s="216" t="str">
        <f t="shared" si="20"/>
        <v>OK</v>
      </c>
      <c r="AF57" s="216">
        <f t="shared" si="21"/>
        <v>287.1064765390611</v>
      </c>
      <c r="AG57" s="216">
        <f t="shared" si="22"/>
      </c>
      <c r="AH57" s="215">
        <f t="shared" si="23"/>
      </c>
      <c r="AI57" s="217">
        <f t="shared" si="24"/>
      </c>
      <c r="AJ57" s="217">
        <f t="shared" si="25"/>
      </c>
      <c r="AK57" s="218">
        <f t="shared" si="28"/>
      </c>
      <c r="AL57" s="218">
        <f t="shared" si="29"/>
      </c>
      <c r="AM57" s="154"/>
    </row>
    <row r="58" spans="1:39" ht="15" customHeight="1">
      <c r="A58" s="482"/>
      <c r="B58" s="222"/>
      <c r="C58" s="222"/>
      <c r="D58" s="212"/>
      <c r="E58" s="200">
        <f t="shared" si="2"/>
        <v>52</v>
      </c>
      <c r="F58" s="213">
        <f t="shared" si="0"/>
        <v>28.077753779697623</v>
      </c>
      <c r="G58" s="477"/>
      <c r="H58" s="219"/>
      <c r="I58" s="219"/>
      <c r="J58" s="219"/>
      <c r="K58" s="478"/>
      <c r="L58" s="204">
        <f t="shared" si="1"/>
        <v>27.04</v>
      </c>
      <c r="M58" s="205">
        <f t="shared" si="3"/>
        <v>8.432898179568319</v>
      </c>
      <c r="O58" s="214">
        <f t="shared" si="4"/>
      </c>
      <c r="P58" s="214">
        <f t="shared" si="5"/>
      </c>
      <c r="Q58" s="214">
        <f t="shared" si="6"/>
      </c>
      <c r="R58" s="214">
        <f t="shared" si="7"/>
      </c>
      <c r="S58" s="214" t="str">
        <f t="shared" si="8"/>
        <v>OK</v>
      </c>
      <c r="T58" s="214">
        <f t="shared" si="9"/>
        <v>152.8875959775023</v>
      </c>
      <c r="U58" s="214" t="str">
        <f t="shared" si="10"/>
        <v>OK</v>
      </c>
      <c r="V58" s="214">
        <f t="shared" si="11"/>
        <v>105.89920638808645</v>
      </c>
      <c r="W58" s="215">
        <f t="shared" si="12"/>
      </c>
      <c r="X58" s="216">
        <f t="shared" si="13"/>
      </c>
      <c r="Y58" s="215">
        <f t="shared" si="14"/>
      </c>
      <c r="Z58" s="216">
        <f t="shared" si="15"/>
      </c>
      <c r="AA58" s="216">
        <f t="shared" si="16"/>
      </c>
      <c r="AB58" s="216">
        <f t="shared" si="17"/>
      </c>
      <c r="AC58" s="216" t="str">
        <f t="shared" si="18"/>
        <v>OK</v>
      </c>
      <c r="AD58" s="216">
        <f t="shared" si="19"/>
        <v>443.12421582709794</v>
      </c>
      <c r="AE58" s="216" t="str">
        <f t="shared" si="20"/>
        <v>OK</v>
      </c>
      <c r="AF58" s="216">
        <f t="shared" si="21"/>
        <v>298.47593716325304</v>
      </c>
      <c r="AG58" s="216">
        <f t="shared" si="22"/>
      </c>
      <c r="AH58" s="215">
        <f t="shared" si="23"/>
      </c>
      <c r="AI58" s="217">
        <f t="shared" si="24"/>
      </c>
      <c r="AJ58" s="217">
        <f t="shared" si="25"/>
      </c>
      <c r="AK58" s="218">
        <f t="shared" si="28"/>
      </c>
      <c r="AL58" s="218">
        <f t="shared" si="29"/>
      </c>
      <c r="AM58" s="154"/>
    </row>
    <row r="59" spans="1:39" ht="15" customHeight="1">
      <c r="A59" s="482"/>
      <c r="B59" s="222"/>
      <c r="C59" s="222"/>
      <c r="D59" s="212"/>
      <c r="E59" s="200">
        <f t="shared" si="2"/>
        <v>53</v>
      </c>
      <c r="F59" s="213">
        <f t="shared" si="0"/>
        <v>28.617710583153347</v>
      </c>
      <c r="G59" s="477"/>
      <c r="H59" s="219"/>
      <c r="I59" s="219"/>
      <c r="J59" s="219"/>
      <c r="K59" s="478"/>
      <c r="L59" s="204">
        <f t="shared" si="1"/>
        <v>28.09</v>
      </c>
      <c r="M59" s="205">
        <f t="shared" si="3"/>
        <v>8.76035909260629</v>
      </c>
      <c r="O59" s="214">
        <f t="shared" si="4"/>
      </c>
      <c r="P59" s="214">
        <f t="shared" si="5"/>
      </c>
      <c r="Q59" s="214">
        <f t="shared" si="6"/>
      </c>
      <c r="R59" s="214">
        <f t="shared" si="7"/>
      </c>
      <c r="S59" s="214" t="str">
        <f t="shared" si="8"/>
        <v>OK</v>
      </c>
      <c r="T59" s="214">
        <f t="shared" si="9"/>
        <v>158.8244294011849</v>
      </c>
      <c r="U59" s="214" t="str">
        <f t="shared" si="10"/>
        <v>OK</v>
      </c>
      <c r="V59" s="214">
        <f t="shared" si="11"/>
        <v>110.01141669531616</v>
      </c>
      <c r="W59" s="215">
        <f t="shared" si="12"/>
      </c>
      <c r="X59" s="216">
        <f t="shared" si="13"/>
      </c>
      <c r="Y59" s="215">
        <f t="shared" si="14"/>
      </c>
      <c r="Z59" s="216">
        <f t="shared" si="15"/>
      </c>
      <c r="AA59" s="216">
        <f t="shared" si="16"/>
      </c>
      <c r="AB59" s="216">
        <f t="shared" si="17"/>
      </c>
      <c r="AC59" s="216" t="str">
        <f t="shared" si="18"/>
        <v>OK</v>
      </c>
      <c r="AD59" s="216">
        <f t="shared" si="19"/>
        <v>460.33133219612364</v>
      </c>
      <c r="AE59" s="216" t="str">
        <f t="shared" si="20"/>
        <v>OK</v>
      </c>
      <c r="AF59" s="216">
        <f t="shared" si="21"/>
        <v>310.06616401315745</v>
      </c>
      <c r="AG59" s="216">
        <f t="shared" si="22"/>
      </c>
      <c r="AH59" s="215">
        <f t="shared" si="23"/>
      </c>
      <c r="AI59" s="217">
        <f t="shared" si="24"/>
      </c>
      <c r="AJ59" s="217">
        <f t="shared" si="25"/>
      </c>
      <c r="AK59" s="218">
        <f t="shared" si="28"/>
      </c>
      <c r="AL59" s="218">
        <f t="shared" si="29"/>
      </c>
      <c r="AM59" s="154"/>
    </row>
    <row r="60" spans="1:39" ht="15" customHeight="1">
      <c r="A60" s="482"/>
      <c r="B60" s="222"/>
      <c r="C60" s="222"/>
      <c r="D60" s="212"/>
      <c r="E60" s="200">
        <f t="shared" si="2"/>
        <v>54</v>
      </c>
      <c r="F60" s="213">
        <f t="shared" si="0"/>
        <v>29.15766738660907</v>
      </c>
      <c r="G60" s="477"/>
      <c r="H60" s="219"/>
      <c r="I60" s="219"/>
      <c r="J60" s="219"/>
      <c r="K60" s="478"/>
      <c r="L60" s="204">
        <f t="shared" si="1"/>
        <v>29.160000000000004</v>
      </c>
      <c r="M60" s="205">
        <f t="shared" si="3"/>
        <v>9.094057356368795</v>
      </c>
      <c r="O60" s="214">
        <f t="shared" si="4"/>
      </c>
      <c r="P60" s="214">
        <f t="shared" si="5"/>
      </c>
      <c r="Q60" s="214">
        <f t="shared" si="6"/>
      </c>
      <c r="R60" s="214">
        <f t="shared" si="7"/>
      </c>
      <c r="S60" s="214" t="str">
        <f t="shared" si="8"/>
        <v>OK</v>
      </c>
      <c r="T60" s="214">
        <f t="shared" si="9"/>
        <v>164.874345366271</v>
      </c>
      <c r="U60" s="214" t="str">
        <f t="shared" si="10"/>
        <v>OK</v>
      </c>
      <c r="V60" s="214">
        <f t="shared" si="11"/>
        <v>114.20195481792165</v>
      </c>
      <c r="W60" s="215">
        <f t="shared" si="12"/>
      </c>
      <c r="X60" s="216">
        <f t="shared" si="13"/>
      </c>
      <c r="Y60" s="215">
        <f t="shared" si="14"/>
      </c>
      <c r="Z60" s="216">
        <f t="shared" si="15"/>
      </c>
      <c r="AA60" s="216">
        <f t="shared" si="16"/>
      </c>
      <c r="AB60" s="216">
        <f t="shared" si="17"/>
      </c>
      <c r="AC60" s="216" t="str">
        <f t="shared" si="18"/>
        <v>OK</v>
      </c>
      <c r="AD60" s="216">
        <f t="shared" si="19"/>
        <v>477.86620316265453</v>
      </c>
      <c r="AE60" s="216" t="str">
        <f t="shared" si="20"/>
        <v>OK</v>
      </c>
      <c r="AF60" s="216">
        <f t="shared" si="21"/>
        <v>321.8771570887744</v>
      </c>
      <c r="AG60" s="216">
        <f t="shared" si="22"/>
      </c>
      <c r="AH60" s="215">
        <f t="shared" si="23"/>
      </c>
      <c r="AI60" s="217">
        <f t="shared" si="24"/>
      </c>
      <c r="AJ60" s="217">
        <f t="shared" si="25"/>
      </c>
      <c r="AK60" s="218">
        <f t="shared" si="28"/>
      </c>
      <c r="AL60" s="218">
        <f t="shared" si="29"/>
      </c>
      <c r="AM60" s="154"/>
    </row>
    <row r="61" spans="1:39" ht="15" customHeight="1">
      <c r="A61" s="482"/>
      <c r="B61" s="222"/>
      <c r="C61" s="222"/>
      <c r="D61" s="212"/>
      <c r="E61" s="200">
        <f t="shared" si="2"/>
        <v>55</v>
      </c>
      <c r="F61" s="213">
        <f t="shared" si="0"/>
        <v>29.697624190064793</v>
      </c>
      <c r="G61" s="477"/>
      <c r="H61" s="219"/>
      <c r="I61" s="219"/>
      <c r="J61" s="219"/>
      <c r="K61" s="478"/>
      <c r="L61" s="204">
        <f t="shared" si="1"/>
        <v>30.25</v>
      </c>
      <c r="M61" s="205">
        <f t="shared" si="3"/>
        <v>9.43399297085583</v>
      </c>
      <c r="O61" s="214">
        <f t="shared" si="4"/>
      </c>
      <c r="P61" s="214">
        <f t="shared" si="5"/>
      </c>
      <c r="Q61" s="214">
        <f t="shared" si="6"/>
      </c>
      <c r="R61" s="214">
        <f t="shared" si="7"/>
      </c>
      <c r="S61" s="214" t="str">
        <f t="shared" si="8"/>
        <v>OK</v>
      </c>
      <c r="T61" s="214">
        <f t="shared" si="9"/>
        <v>171.0373438727605</v>
      </c>
      <c r="U61" s="214" t="str">
        <f t="shared" si="10"/>
        <v>OK</v>
      </c>
      <c r="V61" s="214">
        <f t="shared" si="11"/>
        <v>118.4708207559029</v>
      </c>
      <c r="W61" s="215">
        <f t="shared" si="12"/>
      </c>
      <c r="X61" s="216">
        <f t="shared" si="13"/>
      </c>
      <c r="Y61" s="215">
        <f t="shared" si="14"/>
      </c>
      <c r="Z61" s="216">
        <f t="shared" si="15"/>
      </c>
      <c r="AA61" s="216">
        <f t="shared" si="16"/>
      </c>
      <c r="AB61" s="216">
        <f t="shared" si="17"/>
      </c>
      <c r="AC61" s="216" t="str">
        <f t="shared" si="18"/>
        <v>OK</v>
      </c>
      <c r="AD61" s="216">
        <f t="shared" si="19"/>
        <v>495.7288287266905</v>
      </c>
      <c r="AE61" s="216" t="str">
        <f t="shared" si="20"/>
        <v>OK</v>
      </c>
      <c r="AF61" s="216">
        <f t="shared" si="21"/>
        <v>333.9089163901037</v>
      </c>
      <c r="AG61" s="216">
        <f t="shared" si="22"/>
      </c>
      <c r="AH61" s="215">
        <f t="shared" si="23"/>
      </c>
      <c r="AI61" s="217">
        <f t="shared" si="24"/>
      </c>
      <c r="AJ61" s="217">
        <f t="shared" si="25"/>
      </c>
      <c r="AK61" s="218">
        <f t="shared" si="28"/>
      </c>
      <c r="AL61" s="218">
        <f t="shared" si="29"/>
      </c>
      <c r="AM61" s="154"/>
    </row>
    <row r="62" spans="1:39" ht="15" customHeight="1">
      <c r="A62" s="482"/>
      <c r="B62" s="222"/>
      <c r="C62" s="222"/>
      <c r="D62" s="212"/>
      <c r="E62" s="200">
        <f t="shared" si="2"/>
        <v>56</v>
      </c>
      <c r="F62" s="213">
        <f t="shared" si="0"/>
        <v>30.237580993520517</v>
      </c>
      <c r="G62" s="477"/>
      <c r="H62" s="219"/>
      <c r="I62" s="219"/>
      <c r="J62" s="219"/>
      <c r="K62" s="478"/>
      <c r="L62" s="204">
        <f t="shared" si="1"/>
        <v>31.36</v>
      </c>
      <c r="M62" s="205">
        <f t="shared" si="3"/>
        <v>9.7801659360674</v>
      </c>
      <c r="O62" s="214">
        <f t="shared" si="4"/>
      </c>
      <c r="P62" s="214">
        <f t="shared" si="5"/>
      </c>
      <c r="Q62" s="214">
        <f t="shared" si="6"/>
      </c>
      <c r="R62" s="214">
        <f t="shared" si="7"/>
      </c>
      <c r="S62" s="214" t="str">
        <f t="shared" si="8"/>
        <v>OK</v>
      </c>
      <c r="T62" s="214">
        <f t="shared" si="9"/>
        <v>177.31342492065355</v>
      </c>
      <c r="U62" s="214" t="str">
        <f t="shared" si="10"/>
        <v>OK</v>
      </c>
      <c r="V62" s="214">
        <f t="shared" si="11"/>
        <v>122.81801450926004</v>
      </c>
      <c r="W62" s="215">
        <f t="shared" si="12"/>
      </c>
      <c r="X62" s="216">
        <f t="shared" si="13"/>
      </c>
      <c r="Y62" s="215">
        <f t="shared" si="14"/>
      </c>
      <c r="Z62" s="216">
        <f t="shared" si="15"/>
      </c>
      <c r="AA62" s="216">
        <f t="shared" si="16"/>
      </c>
      <c r="AB62" s="216">
        <f t="shared" si="17"/>
      </c>
      <c r="AC62" s="216" t="str">
        <f t="shared" si="18"/>
        <v>OK</v>
      </c>
      <c r="AD62" s="216">
        <f t="shared" si="19"/>
        <v>513.919208888232</v>
      </c>
      <c r="AE62" s="216" t="str">
        <f t="shared" si="20"/>
        <v>OK</v>
      </c>
      <c r="AF62" s="216">
        <f t="shared" si="21"/>
        <v>346.1614419171455</v>
      </c>
      <c r="AG62" s="216">
        <f t="shared" si="22"/>
      </c>
      <c r="AH62" s="215">
        <f t="shared" si="23"/>
      </c>
      <c r="AI62" s="217">
        <f t="shared" si="24"/>
      </c>
      <c r="AJ62" s="217">
        <f t="shared" si="25"/>
      </c>
      <c r="AK62" s="218">
        <f t="shared" si="28"/>
      </c>
      <c r="AL62" s="218">
        <f t="shared" si="29"/>
      </c>
      <c r="AM62" s="154"/>
    </row>
    <row r="63" spans="1:39" ht="15" customHeight="1">
      <c r="A63" s="482"/>
      <c r="B63" s="222"/>
      <c r="C63" s="222"/>
      <c r="D63" s="212"/>
      <c r="E63" s="200">
        <f t="shared" si="2"/>
        <v>57</v>
      </c>
      <c r="F63" s="213">
        <f t="shared" si="0"/>
        <v>30.77753779697624</v>
      </c>
      <c r="G63" s="477"/>
      <c r="H63" s="219"/>
      <c r="I63" s="219"/>
      <c r="J63" s="219"/>
      <c r="K63" s="478"/>
      <c r="L63" s="204">
        <f t="shared" si="1"/>
        <v>32.49</v>
      </c>
      <c r="M63" s="205">
        <f t="shared" si="3"/>
        <v>10.132576252003501</v>
      </c>
      <c r="O63" s="214">
        <f t="shared" si="4"/>
      </c>
      <c r="P63" s="214">
        <f t="shared" si="5"/>
      </c>
      <c r="Q63" s="214">
        <f t="shared" si="6"/>
      </c>
      <c r="R63" s="214">
        <f t="shared" si="7"/>
      </c>
      <c r="S63" s="214" t="str">
        <f t="shared" si="8"/>
        <v>OK</v>
      </c>
      <c r="T63" s="214">
        <f t="shared" si="9"/>
        <v>183.70258850995003</v>
      </c>
      <c r="U63" s="214" t="str">
        <f t="shared" si="10"/>
        <v>OK</v>
      </c>
      <c r="V63" s="214">
        <f t="shared" si="11"/>
        <v>127.24353607799291</v>
      </c>
      <c r="W63" s="215">
        <f t="shared" si="12"/>
      </c>
      <c r="X63" s="216">
        <f t="shared" si="13"/>
      </c>
      <c r="Y63" s="215">
        <f t="shared" si="14"/>
      </c>
      <c r="Z63" s="216">
        <f t="shared" si="15"/>
      </c>
      <c r="AA63" s="216">
        <f t="shared" si="16"/>
      </c>
      <c r="AB63" s="216">
        <f t="shared" si="17"/>
      </c>
      <c r="AC63" s="216" t="str">
        <f t="shared" si="18"/>
        <v>OK</v>
      </c>
      <c r="AD63" s="216">
        <f t="shared" si="19"/>
        <v>532.4373436472786</v>
      </c>
      <c r="AE63" s="216" t="str">
        <f t="shared" si="20"/>
        <v>OK</v>
      </c>
      <c r="AF63" s="216">
        <f t="shared" si="21"/>
        <v>358.63473366989984</v>
      </c>
      <c r="AG63" s="216">
        <f t="shared" si="22"/>
      </c>
      <c r="AH63" s="215">
        <f t="shared" si="23"/>
      </c>
      <c r="AI63" s="217">
        <f t="shared" si="24"/>
      </c>
      <c r="AJ63" s="217">
        <f t="shared" si="25"/>
      </c>
      <c r="AK63" s="218">
        <f t="shared" si="28"/>
      </c>
      <c r="AL63" s="218">
        <f t="shared" si="29"/>
      </c>
      <c r="AM63" s="154"/>
    </row>
    <row r="64" spans="1:39" ht="15" customHeight="1">
      <c r="A64" s="482"/>
      <c r="B64" s="222"/>
      <c r="C64" s="222"/>
      <c r="D64" s="212"/>
      <c r="E64" s="200">
        <f t="shared" si="2"/>
        <v>58</v>
      </c>
      <c r="F64" s="213">
        <f t="shared" si="0"/>
        <v>31.317494600431964</v>
      </c>
      <c r="G64" s="477"/>
      <c r="H64" s="219"/>
      <c r="I64" s="219"/>
      <c r="J64" s="219"/>
      <c r="K64" s="478"/>
      <c r="L64" s="204">
        <f t="shared" si="1"/>
        <v>33.64</v>
      </c>
      <c r="M64" s="205">
        <f t="shared" si="3"/>
        <v>10.491223918664137</v>
      </c>
      <c r="O64" s="214">
        <f t="shared" si="4"/>
      </c>
      <c r="P64" s="214">
        <f t="shared" si="5"/>
      </c>
      <c r="Q64" s="214">
        <f t="shared" si="6"/>
      </c>
      <c r="R64" s="214">
        <f t="shared" si="7"/>
      </c>
      <c r="S64" s="214" t="str">
        <f t="shared" si="8"/>
        <v>OK</v>
      </c>
      <c r="T64" s="214">
        <f t="shared" si="9"/>
        <v>190.20483464065003</v>
      </c>
      <c r="U64" s="214" t="str">
        <f t="shared" si="10"/>
        <v>OK</v>
      </c>
      <c r="V64" s="214">
        <f t="shared" si="11"/>
        <v>131.74738546210165</v>
      </c>
      <c r="W64" s="215">
        <f t="shared" si="12"/>
      </c>
      <c r="X64" s="216">
        <f t="shared" si="13"/>
      </c>
      <c r="Y64" s="215">
        <f t="shared" si="14"/>
      </c>
      <c r="Z64" s="216">
        <f t="shared" si="15"/>
      </c>
      <c r="AA64" s="216">
        <f t="shared" si="16"/>
      </c>
      <c r="AB64" s="216">
        <f t="shared" si="17"/>
      </c>
      <c r="AC64" s="216" t="str">
        <f t="shared" si="18"/>
        <v>OK</v>
      </c>
      <c r="AD64" s="216">
        <f t="shared" si="19"/>
        <v>551.2832330038304</v>
      </c>
      <c r="AE64" s="216" t="str">
        <f t="shared" si="20"/>
        <v>OK</v>
      </c>
      <c r="AF64" s="216">
        <f t="shared" si="21"/>
        <v>371.3287916483666</v>
      </c>
      <c r="AG64" s="216">
        <f t="shared" si="22"/>
      </c>
      <c r="AH64" s="215">
        <f t="shared" si="23"/>
      </c>
      <c r="AI64" s="217">
        <f t="shared" si="24"/>
      </c>
      <c r="AJ64" s="217">
        <f t="shared" si="25"/>
      </c>
      <c r="AK64" s="218">
        <f t="shared" si="28"/>
      </c>
      <c r="AL64" s="218">
        <f t="shared" si="29"/>
      </c>
      <c r="AM64" s="154"/>
    </row>
    <row r="65" spans="1:39" ht="15" customHeight="1">
      <c r="A65" s="482"/>
      <c r="B65" s="222"/>
      <c r="C65" s="222"/>
      <c r="D65" s="212"/>
      <c r="E65" s="200">
        <f t="shared" si="2"/>
        <v>59</v>
      </c>
      <c r="F65" s="213">
        <f t="shared" si="0"/>
        <v>31.857451403887687</v>
      </c>
      <c r="G65" s="477"/>
      <c r="H65" s="219"/>
      <c r="I65" s="219"/>
      <c r="J65" s="219"/>
      <c r="K65" s="478"/>
      <c r="L65" s="204">
        <f t="shared" si="1"/>
        <v>34.81</v>
      </c>
      <c r="M65" s="205">
        <f t="shared" si="3"/>
        <v>10.856108936049305</v>
      </c>
      <c r="O65" s="214">
        <f t="shared" si="4"/>
      </c>
      <c r="P65" s="214">
        <f t="shared" si="5"/>
      </c>
      <c r="Q65" s="214">
        <f t="shared" si="6"/>
      </c>
      <c r="R65" s="214">
        <f t="shared" si="7"/>
      </c>
      <c r="S65" s="214" t="str">
        <f t="shared" si="8"/>
        <v>OK</v>
      </c>
      <c r="T65" s="214">
        <f t="shared" si="9"/>
        <v>196.8201633127535</v>
      </c>
      <c r="U65" s="214" t="str">
        <f t="shared" si="10"/>
        <v>OK</v>
      </c>
      <c r="V65" s="214">
        <f t="shared" si="11"/>
        <v>136.32956266158615</v>
      </c>
      <c r="W65" s="215">
        <f t="shared" si="12"/>
      </c>
      <c r="X65" s="216">
        <f t="shared" si="13"/>
      </c>
      <c r="Y65" s="215">
        <f t="shared" si="14"/>
      </c>
      <c r="Z65" s="216">
        <f t="shared" si="15"/>
      </c>
      <c r="AA65" s="216">
        <f t="shared" si="16"/>
      </c>
      <c r="AB65" s="216">
        <f t="shared" si="17"/>
      </c>
      <c r="AC65" s="216" t="str">
        <f t="shared" si="18"/>
        <v>OK</v>
      </c>
      <c r="AD65" s="216">
        <f t="shared" si="19"/>
        <v>570.4568769578875</v>
      </c>
      <c r="AE65" s="216" t="str">
        <f t="shared" si="20"/>
        <v>OK</v>
      </c>
      <c r="AF65" s="216">
        <f t="shared" si="21"/>
        <v>384.2436158525458</v>
      </c>
      <c r="AG65" s="216">
        <f t="shared" si="22"/>
      </c>
      <c r="AH65" s="215">
        <f t="shared" si="23"/>
      </c>
      <c r="AI65" s="217">
        <f t="shared" si="24"/>
      </c>
      <c r="AJ65" s="217">
        <f t="shared" si="25"/>
      </c>
      <c r="AK65" s="218">
        <f t="shared" si="28"/>
      </c>
      <c r="AL65" s="218">
        <f t="shared" si="29"/>
      </c>
      <c r="AM65" s="154"/>
    </row>
    <row r="66" spans="1:39" ht="15" customHeight="1">
      <c r="A66" s="482"/>
      <c r="B66" s="222"/>
      <c r="C66" s="222"/>
      <c r="D66" s="212"/>
      <c r="E66" s="200">
        <f t="shared" si="2"/>
        <v>60</v>
      </c>
      <c r="F66" s="213">
        <f t="shared" si="0"/>
        <v>32.39740820734341</v>
      </c>
      <c r="G66" s="477"/>
      <c r="H66" s="219"/>
      <c r="I66" s="219"/>
      <c r="J66" s="219"/>
      <c r="K66" s="478"/>
      <c r="L66" s="204">
        <f t="shared" si="1"/>
        <v>36</v>
      </c>
      <c r="M66" s="205">
        <f t="shared" si="3"/>
        <v>11.227231304159005</v>
      </c>
      <c r="O66" s="214">
        <f t="shared" si="4"/>
      </c>
      <c r="P66" s="214">
        <f t="shared" si="5"/>
      </c>
      <c r="Q66" s="214">
        <f t="shared" si="6"/>
      </c>
      <c r="R66" s="214">
        <f t="shared" si="7"/>
      </c>
      <c r="S66" s="214">
        <f t="shared" si="8"/>
      </c>
      <c r="T66" s="214">
        <f t="shared" si="9"/>
      </c>
      <c r="U66" s="214" t="str">
        <f t="shared" si="10"/>
        <v>OK</v>
      </c>
      <c r="V66" s="214">
        <f t="shared" si="11"/>
        <v>140.99006767644647</v>
      </c>
      <c r="W66" s="215">
        <f t="shared" si="12"/>
      </c>
      <c r="X66" s="216">
        <f t="shared" si="13"/>
      </c>
      <c r="Y66" s="215">
        <f t="shared" si="14"/>
      </c>
      <c r="Z66" s="216">
        <f t="shared" si="15"/>
      </c>
      <c r="AA66" s="216">
        <f t="shared" si="16"/>
      </c>
      <c r="AB66" s="216">
        <f t="shared" si="17"/>
      </c>
      <c r="AC66" s="216" t="str">
        <f t="shared" si="18"/>
        <v>OK</v>
      </c>
      <c r="AD66" s="216">
        <f t="shared" si="19"/>
        <v>589.95827550945</v>
      </c>
      <c r="AE66" s="216" t="str">
        <f t="shared" si="20"/>
        <v>OK</v>
      </c>
      <c r="AF66" s="216">
        <f t="shared" si="21"/>
        <v>397.37920628243745</v>
      </c>
      <c r="AG66" s="216">
        <f t="shared" si="22"/>
      </c>
      <c r="AH66" s="215">
        <f t="shared" si="23"/>
      </c>
      <c r="AI66" s="217">
        <f t="shared" si="24"/>
      </c>
      <c r="AJ66" s="217">
        <f t="shared" si="25"/>
      </c>
      <c r="AK66" s="218">
        <f t="shared" si="28"/>
      </c>
      <c r="AL66" s="218">
        <f t="shared" si="29"/>
      </c>
      <c r="AM66" s="154"/>
    </row>
    <row r="67" spans="1:39" ht="15" customHeight="1">
      <c r="A67" s="482"/>
      <c r="B67" s="222"/>
      <c r="C67" s="222"/>
      <c r="D67" s="212"/>
      <c r="E67" s="200">
        <f t="shared" si="2"/>
        <v>61</v>
      </c>
      <c r="F67" s="213">
        <f t="shared" si="0"/>
        <v>32.937365010799134</v>
      </c>
      <c r="G67" s="477"/>
      <c r="H67" s="219"/>
      <c r="I67" s="219"/>
      <c r="J67" s="219"/>
      <c r="K67" s="478"/>
      <c r="L67" s="204">
        <f t="shared" si="1"/>
        <v>37.21</v>
      </c>
      <c r="M67" s="205">
        <f t="shared" si="3"/>
        <v>11.604591022993237</v>
      </c>
      <c r="O67" s="214">
        <f t="shared" si="4"/>
      </c>
      <c r="P67" s="214">
        <f t="shared" si="5"/>
      </c>
      <c r="Q67" s="214">
        <f t="shared" si="6"/>
      </c>
      <c r="R67" s="214">
        <f t="shared" si="7"/>
      </c>
      <c r="S67" s="214">
        <f t="shared" si="8"/>
      </c>
      <c r="T67" s="214">
        <f t="shared" si="9"/>
      </c>
      <c r="U67" s="214" t="str">
        <f t="shared" si="10"/>
        <v>OK</v>
      </c>
      <c r="V67" s="214">
        <f t="shared" si="11"/>
        <v>145.72890050668258</v>
      </c>
      <c r="W67" s="215">
        <f t="shared" si="12"/>
      </c>
      <c r="X67" s="216">
        <f t="shared" si="13"/>
      </c>
      <c r="Y67" s="215">
        <f t="shared" si="14"/>
      </c>
      <c r="Z67" s="216">
        <f t="shared" si="15"/>
      </c>
      <c r="AA67" s="216">
        <f t="shared" si="16"/>
      </c>
      <c r="AB67" s="216">
        <f t="shared" si="17"/>
      </c>
      <c r="AC67" s="216" t="str">
        <f t="shared" si="18"/>
        <v>OK</v>
      </c>
      <c r="AD67" s="216">
        <f t="shared" si="19"/>
        <v>609.7874286585176</v>
      </c>
      <c r="AE67" s="216" t="str">
        <f t="shared" si="20"/>
        <v>OK</v>
      </c>
      <c r="AF67" s="216">
        <f t="shared" si="21"/>
        <v>410.7355629380416</v>
      </c>
      <c r="AG67" s="216">
        <f t="shared" si="22"/>
      </c>
      <c r="AH67" s="215">
        <f t="shared" si="23"/>
      </c>
      <c r="AI67" s="217">
        <f t="shared" si="24"/>
      </c>
      <c r="AJ67" s="217">
        <f t="shared" si="25"/>
      </c>
      <c r="AK67" s="218">
        <f t="shared" si="28"/>
      </c>
      <c r="AL67" s="218">
        <f t="shared" si="29"/>
      </c>
      <c r="AM67" s="154"/>
    </row>
    <row r="68" spans="1:39" ht="15" customHeight="1">
      <c r="A68" s="482">
        <v>8</v>
      </c>
      <c r="B68" s="222"/>
      <c r="C68" s="222"/>
      <c r="D68" s="212"/>
      <c r="E68" s="200">
        <f t="shared" si="2"/>
        <v>62</v>
      </c>
      <c r="F68" s="213">
        <f t="shared" si="0"/>
        <v>33.47732181425486</v>
      </c>
      <c r="G68" s="477" t="s">
        <v>43</v>
      </c>
      <c r="H68" s="219"/>
      <c r="I68" s="219"/>
      <c r="J68" s="219"/>
      <c r="K68" s="489">
        <v>14</v>
      </c>
      <c r="L68" s="204">
        <f t="shared" si="1"/>
        <v>38.440000000000005</v>
      </c>
      <c r="M68" s="205">
        <f t="shared" si="3"/>
        <v>11.988188092552006</v>
      </c>
      <c r="O68" s="214">
        <f t="shared" si="4"/>
      </c>
      <c r="P68" s="214">
        <f t="shared" si="5"/>
      </c>
      <c r="Q68" s="214">
        <f t="shared" si="6"/>
      </c>
      <c r="R68" s="214">
        <f t="shared" si="7"/>
      </c>
      <c r="S68" s="214">
        <f t="shared" si="8"/>
      </c>
      <c r="T68" s="214">
        <f t="shared" si="9"/>
      </c>
      <c r="U68" s="214" t="str">
        <f t="shared" si="10"/>
        <v>OK</v>
      </c>
      <c r="V68" s="214">
        <f t="shared" si="11"/>
        <v>150.54606115229453</v>
      </c>
      <c r="W68" s="215">
        <f t="shared" si="12"/>
      </c>
      <c r="X68" s="216">
        <f t="shared" si="13"/>
      </c>
      <c r="Y68" s="215">
        <f t="shared" si="14"/>
      </c>
      <c r="Z68" s="216">
        <f t="shared" si="15"/>
      </c>
      <c r="AA68" s="216">
        <f t="shared" si="16"/>
      </c>
      <c r="AB68" s="216">
        <f t="shared" si="17"/>
      </c>
      <c r="AC68" s="216" t="str">
        <f t="shared" si="18"/>
        <v>OK</v>
      </c>
      <c r="AD68" s="216">
        <f t="shared" si="19"/>
        <v>629.9443364050906</v>
      </c>
      <c r="AE68" s="216" t="str">
        <f t="shared" si="20"/>
        <v>OK</v>
      </c>
      <c r="AF68" s="216">
        <f t="shared" si="21"/>
        <v>424.3126858193583</v>
      </c>
      <c r="AG68" s="216">
        <f t="shared" si="22"/>
      </c>
      <c r="AH68" s="215">
        <f t="shared" si="23"/>
      </c>
      <c r="AI68" s="217">
        <f t="shared" si="24"/>
      </c>
      <c r="AJ68" s="217">
        <f t="shared" si="25"/>
      </c>
      <c r="AK68" s="218">
        <f t="shared" si="28"/>
      </c>
      <c r="AL68" s="218">
        <f t="shared" si="29"/>
      </c>
      <c r="AM68" s="154"/>
    </row>
    <row r="69" spans="1:39" ht="15" customHeight="1">
      <c r="A69" s="482"/>
      <c r="B69" s="222"/>
      <c r="C69" s="222"/>
      <c r="D69" s="212"/>
      <c r="E69" s="200">
        <f t="shared" si="2"/>
        <v>63</v>
      </c>
      <c r="F69" s="213">
        <f t="shared" si="0"/>
        <v>34.01727861771058</v>
      </c>
      <c r="G69" s="477"/>
      <c r="H69" s="219"/>
      <c r="I69" s="219"/>
      <c r="J69" s="219"/>
      <c r="K69" s="490"/>
      <c r="L69" s="204">
        <f t="shared" si="1"/>
        <v>39.69</v>
      </c>
      <c r="M69" s="205">
        <f t="shared" si="3"/>
        <v>12.378022512835301</v>
      </c>
      <c r="O69" s="214">
        <f t="shared" si="4"/>
      </c>
      <c r="P69" s="214">
        <f t="shared" si="5"/>
      </c>
      <c r="Q69" s="214">
        <f t="shared" si="6"/>
      </c>
      <c r="R69" s="214">
        <f t="shared" si="7"/>
      </c>
      <c r="S69" s="214">
        <f t="shared" si="8"/>
      </c>
      <c r="T69" s="214">
        <f t="shared" si="9"/>
      </c>
      <c r="U69" s="214" t="str">
        <f t="shared" si="10"/>
        <v>OK</v>
      </c>
      <c r="V69" s="214">
        <f t="shared" si="11"/>
        <v>155.4415496132822</v>
      </c>
      <c r="W69" s="215">
        <f t="shared" si="12"/>
      </c>
      <c r="X69" s="216">
        <f t="shared" si="13"/>
      </c>
      <c r="Y69" s="215">
        <f t="shared" si="14"/>
      </c>
      <c r="Z69" s="216">
        <f t="shared" si="15"/>
      </c>
      <c r="AA69" s="216">
        <f t="shared" si="16"/>
      </c>
      <c r="AB69" s="216">
        <f t="shared" si="17"/>
      </c>
      <c r="AC69" s="216" t="str">
        <f t="shared" si="18"/>
        <v>OK</v>
      </c>
      <c r="AD69" s="216">
        <f t="shared" si="19"/>
        <v>650.4289987491684</v>
      </c>
      <c r="AE69" s="216" t="str">
        <f t="shared" si="20"/>
        <v>OK</v>
      </c>
      <c r="AF69" s="216">
        <f t="shared" si="21"/>
        <v>438.1105749263872</v>
      </c>
      <c r="AG69" s="216">
        <f t="shared" si="22"/>
      </c>
      <c r="AH69" s="215">
        <f t="shared" si="23"/>
      </c>
      <c r="AI69" s="217">
        <f t="shared" si="24"/>
      </c>
      <c r="AJ69" s="217">
        <f t="shared" si="25"/>
      </c>
      <c r="AK69" s="218">
        <f t="shared" si="28"/>
      </c>
      <c r="AL69" s="218">
        <f t="shared" si="29"/>
      </c>
      <c r="AM69" s="154"/>
    </row>
    <row r="70" spans="1:39" ht="15" customHeight="1">
      <c r="A70" s="482"/>
      <c r="B70" s="222"/>
      <c r="C70" s="222"/>
      <c r="D70" s="212"/>
      <c r="E70" s="200">
        <f t="shared" si="2"/>
        <v>64</v>
      </c>
      <c r="F70" s="213">
        <f t="shared" si="0"/>
        <v>34.557235421166304</v>
      </c>
      <c r="G70" s="477"/>
      <c r="H70" s="219"/>
      <c r="I70" s="219"/>
      <c r="J70" s="219"/>
      <c r="K70" s="490"/>
      <c r="L70" s="204">
        <f t="shared" si="1"/>
        <v>40.96</v>
      </c>
      <c r="M70" s="205">
        <f t="shared" si="3"/>
        <v>12.774094283843134</v>
      </c>
      <c r="O70" s="214">
        <f t="shared" si="4"/>
      </c>
      <c r="P70" s="214">
        <f t="shared" si="5"/>
      </c>
      <c r="Q70" s="214">
        <f t="shared" si="6"/>
      </c>
      <c r="R70" s="214">
        <f t="shared" si="7"/>
      </c>
      <c r="S70" s="214">
        <f t="shared" si="8"/>
      </c>
      <c r="T70" s="214">
        <f t="shared" si="9"/>
      </c>
      <c r="U70" s="214" t="str">
        <f t="shared" si="10"/>
        <v>OK</v>
      </c>
      <c r="V70" s="214">
        <f t="shared" si="11"/>
        <v>160.41536588964576</v>
      </c>
      <c r="W70" s="215">
        <f t="shared" si="12"/>
      </c>
      <c r="X70" s="216">
        <f t="shared" si="13"/>
      </c>
      <c r="Y70" s="215">
        <f t="shared" si="14"/>
      </c>
      <c r="Z70" s="216">
        <f t="shared" si="15"/>
      </c>
      <c r="AA70" s="216">
        <f t="shared" si="16"/>
      </c>
      <c r="AB70" s="216">
        <f t="shared" si="17"/>
      </c>
      <c r="AC70" s="216">
        <f t="shared" si="18"/>
      </c>
      <c r="AD70" s="216">
        <f t="shared" si="19"/>
      </c>
      <c r="AE70" s="216" t="str">
        <f t="shared" si="20"/>
        <v>OK</v>
      </c>
      <c r="AF70" s="216">
        <f t="shared" si="21"/>
        <v>452.12923025912886</v>
      </c>
      <c r="AG70" s="216">
        <f t="shared" si="22"/>
      </c>
      <c r="AH70" s="215">
        <f t="shared" si="23"/>
      </c>
      <c r="AI70" s="217">
        <f t="shared" si="24"/>
      </c>
      <c r="AJ70" s="217">
        <f t="shared" si="25"/>
      </c>
      <c r="AK70" s="218">
        <f t="shared" si="28"/>
      </c>
      <c r="AL70" s="218">
        <f t="shared" si="29"/>
      </c>
      <c r="AM70" s="154"/>
    </row>
    <row r="71" spans="1:39" ht="15" customHeight="1">
      <c r="A71" s="482"/>
      <c r="B71" s="222"/>
      <c r="C71" s="222"/>
      <c r="D71" s="212"/>
      <c r="E71" s="200">
        <f t="shared" si="2"/>
        <v>65</v>
      </c>
      <c r="F71" s="213">
        <f aca="true" t="shared" si="31" ref="F71:F108">E71/1.852</f>
        <v>35.09719222462203</v>
      </c>
      <c r="G71" s="477"/>
      <c r="H71" s="219"/>
      <c r="I71" s="219"/>
      <c r="J71" s="219"/>
      <c r="K71" s="490"/>
      <c r="L71" s="204">
        <f aca="true" t="shared" si="32" ref="L71:L108">100*(E71^2/(10000))</f>
        <v>42.25</v>
      </c>
      <c r="M71" s="205">
        <f t="shared" si="3"/>
        <v>13.176403405575499</v>
      </c>
      <c r="O71" s="214">
        <f t="shared" si="4"/>
      </c>
      <c r="P71" s="214">
        <f t="shared" si="5"/>
      </c>
      <c r="Q71" s="214">
        <f t="shared" si="6"/>
      </c>
      <c r="R71" s="214">
        <f t="shared" si="7"/>
      </c>
      <c r="S71" s="214">
        <f t="shared" si="8"/>
      </c>
      <c r="T71" s="214">
        <f t="shared" si="9"/>
      </c>
      <c r="U71" s="214" t="str">
        <f t="shared" si="10"/>
        <v>OK</v>
      </c>
      <c r="V71" s="214">
        <f t="shared" si="11"/>
        <v>165.4675099813851</v>
      </c>
      <c r="W71" s="215">
        <f t="shared" si="12"/>
      </c>
      <c r="X71" s="216">
        <f t="shared" si="13"/>
      </c>
      <c r="Y71" s="215">
        <f t="shared" si="14"/>
      </c>
      <c r="Z71" s="216">
        <f t="shared" si="15"/>
      </c>
      <c r="AA71" s="216">
        <f t="shared" si="16"/>
      </c>
      <c r="AB71" s="216">
        <f t="shared" si="17"/>
      </c>
      <c r="AC71" s="216">
        <f t="shared" si="18"/>
      </c>
      <c r="AD71" s="216">
        <f t="shared" si="19"/>
      </c>
      <c r="AE71" s="216" t="str">
        <f t="shared" si="20"/>
        <v>OK</v>
      </c>
      <c r="AF71" s="216">
        <f t="shared" si="21"/>
        <v>466.3686518175829</v>
      </c>
      <c r="AG71" s="216">
        <f t="shared" si="22"/>
      </c>
      <c r="AH71" s="215">
        <f t="shared" si="23"/>
      </c>
      <c r="AI71" s="217">
        <f t="shared" si="24"/>
      </c>
      <c r="AJ71" s="217">
        <f t="shared" si="25"/>
      </c>
      <c r="AK71" s="218">
        <f t="shared" si="28"/>
      </c>
      <c r="AL71" s="218">
        <f t="shared" si="29"/>
      </c>
      <c r="AM71" s="154"/>
    </row>
    <row r="72" spans="1:39" ht="15" customHeight="1">
      <c r="A72" s="482"/>
      <c r="B72" s="222"/>
      <c r="C72" s="222"/>
      <c r="D72" s="212"/>
      <c r="E72" s="200">
        <f aca="true" t="shared" si="33" ref="E72:E106">1+E71</f>
        <v>66</v>
      </c>
      <c r="F72" s="213">
        <f t="shared" si="31"/>
        <v>35.63714902807775</v>
      </c>
      <c r="G72" s="477"/>
      <c r="H72" s="219"/>
      <c r="I72" s="219"/>
      <c r="J72" s="219"/>
      <c r="K72" s="490"/>
      <c r="L72" s="204">
        <f t="shared" si="32"/>
        <v>43.56</v>
      </c>
      <c r="M72" s="205">
        <f aca="true" t="shared" si="34" ref="M72:M108">L72*1.5*SIN(RADIANS($AM$6))</f>
        <v>13.584949878032397</v>
      </c>
      <c r="O72" s="214">
        <f aca="true" t="shared" si="35" ref="O72:O108">IF((M72*4.5*$O$6*COS(RADIANS($AM$6)))&lt;$W$2,"OK","")</f>
      </c>
      <c r="P72" s="214">
        <f aca="true" t="shared" si="36" ref="P72:P108">IF((M72*4.5*$O$6*COS(RADIANS($AM$6)))&lt;$W$2,M72*4.5*$O$6*SIN(RADIANS($AN$6)),"")</f>
      </c>
      <c r="Q72" s="214">
        <f aca="true" t="shared" si="37" ref="Q72:Q108">IF((M72*4.25*$Q$6*COS(RADIANS($AN$6)))&lt;$W$2,"OK","")</f>
      </c>
      <c r="R72" s="214">
        <f aca="true" t="shared" si="38" ref="R72:R108">IF((M72*4.25*$Q$6*COS(RADIANS($AN$6)))&lt;$W$2,M72*4*$Q$6*SIN(RADIANS($AM$6)),"")</f>
      </c>
      <c r="S72" s="214">
        <f aca="true" t="shared" si="39" ref="S72:S108">IF((M72*3.8*$S$6*COS(RADIANS($AN$6)))&lt;$W$2,"OK","")</f>
      </c>
      <c r="T72" s="214">
        <f aca="true" t="shared" si="40" ref="T72:T108">IF((M72*3.8*$S$6*COS(RADIANS($AN$6)))&lt;$W$2,M72*4*$S$6*SIN(RADIANS($AM$6)),"")</f>
      </c>
      <c r="U72" s="214" t="str">
        <f aca="true" t="shared" si="41" ref="U72:U80">IF((M72*3.55*$U$6*COS(RADIANS($AN$6)))&lt;$W$2,"OK","")</f>
        <v>OK</v>
      </c>
      <c r="V72" s="214">
        <f aca="true" t="shared" si="42" ref="V72:V80">IF((M72*3.55*$U$6*COS(RADIANS($AN$6)))&lt;$W$2,M72*4*$U$6*SIN(RADIANS($AM$6)),"")</f>
        <v>170.59798188850024</v>
      </c>
      <c r="W72" s="215">
        <f aca="true" t="shared" si="43" ref="W72:W108">IF((M72*4.5*$W$6*COS(RADIANS($AO$6)))&lt;$W$2,"OK","")</f>
      </c>
      <c r="X72" s="216">
        <f aca="true" t="shared" si="44" ref="X72:X108">IF((M72*4.5*$W$6*COS(RADIANS($AO$6)))&lt;$W$2,M72*4.5*$W$6*SIN(RADIANS($AP$6)),"")</f>
      </c>
      <c r="Y72" s="215">
        <f aca="true" t="shared" si="45" ref="Y72:Y80">IF((M72*3.8*$Y$6*COS(RADIANS($AO$6)))&lt;$W$2,"OK","")</f>
      </c>
      <c r="Z72" s="216">
        <f aca="true" t="shared" si="46" ref="Z72:Z80">IF((M72*3.8*$Y$6*COS(RADIANS($AO$6)))&lt;$W$2,M72*3.8*$Y$6*SIN(RADIANS($AP$6)),"")</f>
      </c>
      <c r="AA72" s="216">
        <f aca="true" t="shared" si="47" ref="AA72:AA108">IF((M72*4.5*$AA$6*COS(RADIANS($AO$6)))&lt;$W$2,"OK","")</f>
      </c>
      <c r="AB72" s="216">
        <f aca="true" t="shared" si="48" ref="AB72:AB108">IF((M72*4.5*$AA$6*COS(RADIANS($AO$6)))&lt;$W$2,M72*4.5*$AA$6*SIN(RADIANS($AP$6)),"")</f>
      </c>
      <c r="AC72" s="216">
        <f aca="true" t="shared" si="49" ref="AC72:AC108">IF((M72*3.8*$AC$6*COS(RADIANS($AO$6)))&lt;$W$2,"OK","")</f>
      </c>
      <c r="AD72" s="216">
        <f aca="true" t="shared" si="50" ref="AD72:AD108">IF((M72*3.8*$AC$6*COS(RADIANS($AO$6)))&lt;$W$2,M72*3.8*$AC$6*SIN(RADIANS($AP$6)),"")</f>
      </c>
      <c r="AE72" s="216" t="str">
        <f aca="true" t="shared" si="51" ref="AE72:AE108">IF((M72*3.55*$AE$6*COS(RADIANS($AO$6)))&lt;$W$2,"OK","")</f>
        <v>OK</v>
      </c>
      <c r="AF72" s="216">
        <f aca="true" t="shared" si="52" ref="AF72:AF108">IF((M72*3.55*$AE$6*COS(RADIANS($AO$6)))&lt;$W$2,M72*3.55*$AE$6*SIN(RADIANS($AP$6)),"")</f>
        <v>480.82883960174934</v>
      </c>
      <c r="AG72" s="216">
        <f aca="true" t="shared" si="53" ref="AG72:AG108">IF((M72*4.5*$AG$6*COS(RADIANS($AO$6)))&lt;$W$2,"OK","")</f>
      </c>
      <c r="AH72" s="215">
        <f aca="true" t="shared" si="54" ref="AH72:AH108">IF((M72*4.5*$AG$6*COS(RADIANS($AO$6)))&lt;$W$2,M72*4.5*$AG$6*SIN(RADIANS($AP$6)),"")</f>
      </c>
      <c r="AI72" s="217">
        <f aca="true" t="shared" si="55" ref="AI72:AI108">IF((M72*3.8*$AI$6*COS(RADIANS($AO$6)))&lt;$W$2,"OK","")</f>
      </c>
      <c r="AJ72" s="217">
        <f aca="true" t="shared" si="56" ref="AJ72:AJ108">IF((M72*3.8*$AI$6*COS(RADIANS($AO$6)))&lt;$W$2,M72*3.8*$AI$6*SIN(RADIANS($AP$6)),"")</f>
      </c>
      <c r="AK72" s="218">
        <f t="shared" si="28"/>
      </c>
      <c r="AL72" s="218">
        <f t="shared" si="29"/>
      </c>
      <c r="AM72" s="154"/>
    </row>
    <row r="73" spans="1:39" ht="15" customHeight="1">
      <c r="A73" s="482"/>
      <c r="B73" s="222"/>
      <c r="C73" s="222"/>
      <c r="D73" s="212"/>
      <c r="E73" s="200">
        <f t="shared" si="33"/>
        <v>67</v>
      </c>
      <c r="F73" s="213">
        <f t="shared" si="31"/>
        <v>36.177105831533474</v>
      </c>
      <c r="G73" s="477"/>
      <c r="H73" s="219"/>
      <c r="I73" s="219"/>
      <c r="J73" s="219"/>
      <c r="K73" s="490"/>
      <c r="L73" s="204">
        <f t="shared" si="32"/>
        <v>44.89</v>
      </c>
      <c r="M73" s="205">
        <f t="shared" si="34"/>
        <v>13.999733701213827</v>
      </c>
      <c r="O73" s="214">
        <f t="shared" si="35"/>
      </c>
      <c r="P73" s="214">
        <f t="shared" si="36"/>
      </c>
      <c r="Q73" s="214">
        <f t="shared" si="37"/>
      </c>
      <c r="R73" s="214">
        <f t="shared" si="38"/>
      </c>
      <c r="S73" s="214">
        <f t="shared" si="39"/>
      </c>
      <c r="T73" s="214">
        <f t="shared" si="40"/>
      </c>
      <c r="U73" s="214" t="str">
        <f t="shared" si="41"/>
        <v>OK</v>
      </c>
      <c r="V73" s="214">
        <f t="shared" si="42"/>
        <v>175.80678161099118</v>
      </c>
      <c r="W73" s="215">
        <f t="shared" si="43"/>
      </c>
      <c r="X73" s="216">
        <f t="shared" si="44"/>
      </c>
      <c r="Y73" s="215">
        <f t="shared" si="45"/>
      </c>
      <c r="Z73" s="216">
        <f t="shared" si="46"/>
      </c>
      <c r="AA73" s="216">
        <f t="shared" si="47"/>
      </c>
      <c r="AB73" s="216">
        <f t="shared" si="48"/>
      </c>
      <c r="AC73" s="216">
        <f t="shared" si="49"/>
      </c>
      <c r="AD73" s="216">
        <f t="shared" si="50"/>
      </c>
      <c r="AE73" s="216" t="str">
        <f t="shared" si="51"/>
        <v>OK</v>
      </c>
      <c r="AF73" s="216">
        <f t="shared" si="52"/>
        <v>495.5097936116283</v>
      </c>
      <c r="AG73" s="216">
        <f t="shared" si="53"/>
      </c>
      <c r="AH73" s="215">
        <f t="shared" si="54"/>
      </c>
      <c r="AI73" s="217">
        <f t="shared" si="55"/>
      </c>
      <c r="AJ73" s="217">
        <f t="shared" si="56"/>
      </c>
      <c r="AK73" s="218">
        <f t="shared" si="28"/>
      </c>
      <c r="AL73" s="218">
        <f t="shared" si="29"/>
      </c>
      <c r="AM73" s="154"/>
    </row>
    <row r="74" spans="1:39" ht="15" customHeight="1">
      <c r="A74" s="482"/>
      <c r="B74" s="222"/>
      <c r="C74" s="222"/>
      <c r="D74" s="212"/>
      <c r="E74" s="200">
        <f t="shared" si="33"/>
        <v>68</v>
      </c>
      <c r="F74" s="213">
        <f t="shared" si="31"/>
        <v>36.7170626349892</v>
      </c>
      <c r="G74" s="477"/>
      <c r="H74" s="219"/>
      <c r="I74" s="219"/>
      <c r="J74" s="219"/>
      <c r="K74" s="490"/>
      <c r="L74" s="204">
        <f t="shared" si="32"/>
        <v>46.239999999999995</v>
      </c>
      <c r="M74" s="205">
        <f t="shared" si="34"/>
        <v>14.420754875119785</v>
      </c>
      <c r="O74" s="214">
        <f t="shared" si="35"/>
      </c>
      <c r="P74" s="214">
        <f t="shared" si="36"/>
      </c>
      <c r="Q74" s="214">
        <f t="shared" si="37"/>
      </c>
      <c r="R74" s="214">
        <f t="shared" si="38"/>
      </c>
      <c r="S74" s="214">
        <f t="shared" si="39"/>
      </c>
      <c r="T74" s="214">
        <f t="shared" si="40"/>
      </c>
      <c r="U74" s="214" t="str">
        <f t="shared" si="41"/>
        <v>OK</v>
      </c>
      <c r="V74" s="214">
        <f t="shared" si="42"/>
        <v>181.09390914885788</v>
      </c>
      <c r="W74" s="215">
        <f t="shared" si="43"/>
      </c>
      <c r="X74" s="216">
        <f t="shared" si="44"/>
      </c>
      <c r="Y74" s="215">
        <f t="shared" si="45"/>
      </c>
      <c r="Z74" s="216">
        <f t="shared" si="46"/>
      </c>
      <c r="AA74" s="216">
        <f t="shared" si="47"/>
      </c>
      <c r="AB74" s="216">
        <f t="shared" si="48"/>
      </c>
      <c r="AC74" s="216">
        <f t="shared" si="49"/>
      </c>
      <c r="AD74" s="216">
        <f t="shared" si="50"/>
      </c>
      <c r="AE74" s="216" t="str">
        <f t="shared" si="51"/>
        <v>OK</v>
      </c>
      <c r="AF74" s="216">
        <f t="shared" si="52"/>
        <v>510.41151384721957</v>
      </c>
      <c r="AG74" s="216">
        <f t="shared" si="53"/>
      </c>
      <c r="AH74" s="215">
        <f t="shared" si="54"/>
      </c>
      <c r="AI74" s="217">
        <f t="shared" si="55"/>
      </c>
      <c r="AJ74" s="217">
        <f t="shared" si="56"/>
      </c>
      <c r="AK74" s="218">
        <f t="shared" si="28"/>
      </c>
      <c r="AL74" s="218">
        <f t="shared" si="29"/>
      </c>
      <c r="AM74" s="154"/>
    </row>
    <row r="75" spans="1:39" ht="15" customHeight="1">
      <c r="A75" s="482"/>
      <c r="B75" s="222"/>
      <c r="C75" s="222"/>
      <c r="D75" s="212"/>
      <c r="E75" s="200">
        <f t="shared" si="33"/>
        <v>69</v>
      </c>
      <c r="F75" s="213">
        <f t="shared" si="31"/>
        <v>37.25701943844492</v>
      </c>
      <c r="G75" s="477"/>
      <c r="H75" s="219"/>
      <c r="I75" s="219"/>
      <c r="J75" s="219"/>
      <c r="K75" s="490"/>
      <c r="L75" s="204">
        <f t="shared" si="32"/>
        <v>47.61</v>
      </c>
      <c r="M75" s="205">
        <f t="shared" si="34"/>
        <v>14.848013399750283</v>
      </c>
      <c r="O75" s="214">
        <f t="shared" si="35"/>
      </c>
      <c r="P75" s="214">
        <f t="shared" si="36"/>
      </c>
      <c r="Q75" s="214">
        <f t="shared" si="37"/>
      </c>
      <c r="R75" s="214">
        <f t="shared" si="38"/>
      </c>
      <c r="S75" s="214">
        <f t="shared" si="39"/>
      </c>
      <c r="T75" s="214">
        <f t="shared" si="40"/>
      </c>
      <c r="U75" s="214" t="str">
        <f t="shared" si="41"/>
        <v>OK</v>
      </c>
      <c r="V75" s="214">
        <f t="shared" si="42"/>
        <v>186.45936450210044</v>
      </c>
      <c r="W75" s="215">
        <f t="shared" si="43"/>
      </c>
      <c r="X75" s="216">
        <f t="shared" si="44"/>
      </c>
      <c r="Y75" s="215">
        <f t="shared" si="45"/>
      </c>
      <c r="Z75" s="216">
        <f t="shared" si="46"/>
      </c>
      <c r="AA75" s="216">
        <f t="shared" si="47"/>
      </c>
      <c r="AB75" s="216">
        <f t="shared" si="48"/>
      </c>
      <c r="AC75" s="216">
        <f t="shared" si="49"/>
      </c>
      <c r="AD75" s="216">
        <f t="shared" si="50"/>
      </c>
      <c r="AE75" s="216" t="str">
        <f t="shared" si="51"/>
        <v>OK</v>
      </c>
      <c r="AF75" s="216">
        <f t="shared" si="52"/>
        <v>525.5340003085234</v>
      </c>
      <c r="AG75" s="216">
        <f t="shared" si="53"/>
      </c>
      <c r="AH75" s="215">
        <f t="shared" si="54"/>
      </c>
      <c r="AI75" s="217">
        <f t="shared" si="55"/>
      </c>
      <c r="AJ75" s="217">
        <f t="shared" si="56"/>
      </c>
      <c r="AK75" s="218">
        <f t="shared" si="28"/>
      </c>
      <c r="AL75" s="218">
        <f t="shared" si="29"/>
      </c>
      <c r="AM75" s="154"/>
    </row>
    <row r="76" spans="1:39" ht="15" customHeight="1">
      <c r="A76" s="482"/>
      <c r="B76" s="222"/>
      <c r="C76" s="222"/>
      <c r="D76" s="212"/>
      <c r="E76" s="200">
        <f t="shared" si="33"/>
        <v>70</v>
      </c>
      <c r="F76" s="213">
        <f t="shared" si="31"/>
        <v>37.796976241900644</v>
      </c>
      <c r="G76" s="477"/>
      <c r="H76" s="219"/>
      <c r="I76" s="219"/>
      <c r="J76" s="219"/>
      <c r="K76" s="490"/>
      <c r="L76" s="204">
        <f t="shared" si="32"/>
        <v>49</v>
      </c>
      <c r="M76" s="205">
        <f t="shared" si="34"/>
        <v>15.281509275105313</v>
      </c>
      <c r="O76" s="214">
        <f t="shared" si="35"/>
      </c>
      <c r="P76" s="214">
        <f t="shared" si="36"/>
      </c>
      <c r="Q76" s="214">
        <f t="shared" si="37"/>
      </c>
      <c r="R76" s="214">
        <f t="shared" si="38"/>
      </c>
      <c r="S76" s="214">
        <f t="shared" si="39"/>
      </c>
      <c r="T76" s="214">
        <f t="shared" si="40"/>
      </c>
      <c r="U76" s="214" t="str">
        <f t="shared" si="41"/>
        <v>OK</v>
      </c>
      <c r="V76" s="214">
        <f t="shared" si="42"/>
        <v>191.9031476707188</v>
      </c>
      <c r="W76" s="215">
        <f t="shared" si="43"/>
      </c>
      <c r="X76" s="216">
        <f t="shared" si="44"/>
      </c>
      <c r="Y76" s="215">
        <f t="shared" si="45"/>
      </c>
      <c r="Z76" s="216">
        <f t="shared" si="46"/>
      </c>
      <c r="AA76" s="216">
        <f t="shared" si="47"/>
      </c>
      <c r="AB76" s="216">
        <f t="shared" si="48"/>
      </c>
      <c r="AC76" s="216">
        <f t="shared" si="49"/>
      </c>
      <c r="AD76" s="216">
        <f t="shared" si="50"/>
      </c>
      <c r="AE76" s="216" t="str">
        <f t="shared" si="51"/>
        <v>OK</v>
      </c>
      <c r="AF76" s="216">
        <f t="shared" si="52"/>
        <v>540.87725299554</v>
      </c>
      <c r="AG76" s="216">
        <f t="shared" si="53"/>
      </c>
      <c r="AH76" s="215">
        <f t="shared" si="54"/>
      </c>
      <c r="AI76" s="217">
        <f t="shared" si="55"/>
      </c>
      <c r="AJ76" s="217">
        <f t="shared" si="56"/>
      </c>
      <c r="AK76" s="218">
        <f t="shared" si="28"/>
      </c>
      <c r="AL76" s="218">
        <f t="shared" si="29"/>
      </c>
      <c r="AM76" s="154"/>
    </row>
    <row r="77" spans="1:39" ht="15" customHeight="1">
      <c r="A77" s="482"/>
      <c r="B77" s="222"/>
      <c r="C77" s="222"/>
      <c r="D77" s="212"/>
      <c r="E77" s="200">
        <f t="shared" si="33"/>
        <v>71</v>
      </c>
      <c r="F77" s="213">
        <f t="shared" si="31"/>
        <v>38.33693304535637</v>
      </c>
      <c r="G77" s="477"/>
      <c r="H77" s="219"/>
      <c r="I77" s="219"/>
      <c r="J77" s="219"/>
      <c r="K77" s="490"/>
      <c r="L77" s="204">
        <f t="shared" si="32"/>
        <v>50.41</v>
      </c>
      <c r="M77" s="205">
        <f t="shared" si="34"/>
        <v>15.721242501184872</v>
      </c>
      <c r="O77" s="214">
        <f t="shared" si="35"/>
      </c>
      <c r="P77" s="214">
        <f t="shared" si="36"/>
      </c>
      <c r="Q77" s="214">
        <f t="shared" si="37"/>
      </c>
      <c r="R77" s="214">
        <f t="shared" si="38"/>
      </c>
      <c r="S77" s="214">
        <f t="shared" si="39"/>
      </c>
      <c r="T77" s="214">
        <f t="shared" si="40"/>
      </c>
      <c r="U77" s="214" t="str">
        <f t="shared" si="41"/>
        <v>OK</v>
      </c>
      <c r="V77" s="214">
        <f t="shared" si="42"/>
        <v>197.42525865471293</v>
      </c>
      <c r="W77" s="215">
        <f t="shared" si="43"/>
      </c>
      <c r="X77" s="216">
        <f t="shared" si="44"/>
      </c>
      <c r="Y77" s="215">
        <f t="shared" si="45"/>
      </c>
      <c r="Z77" s="216">
        <f t="shared" si="46"/>
      </c>
      <c r="AA77" s="216">
        <f t="shared" si="47"/>
      </c>
      <c r="AB77" s="216">
        <f t="shared" si="48"/>
      </c>
      <c r="AC77" s="216">
        <f t="shared" si="49"/>
      </c>
      <c r="AD77" s="216">
        <f t="shared" si="50"/>
      </c>
      <c r="AE77" s="216" t="str">
        <f t="shared" si="51"/>
        <v>OK</v>
      </c>
      <c r="AF77" s="216">
        <f t="shared" si="52"/>
        <v>556.4412719082687</v>
      </c>
      <c r="AG77" s="216">
        <f t="shared" si="53"/>
      </c>
      <c r="AH77" s="215">
        <f t="shared" si="54"/>
      </c>
      <c r="AI77" s="217">
        <f t="shared" si="55"/>
      </c>
      <c r="AJ77" s="217">
        <f t="shared" si="56"/>
      </c>
      <c r="AK77" s="218">
        <f t="shared" si="28"/>
      </c>
      <c r="AL77" s="218">
        <f t="shared" si="29"/>
      </c>
      <c r="AM77" s="154"/>
    </row>
    <row r="78" spans="1:39" ht="15" customHeight="1">
      <c r="A78" s="482"/>
      <c r="B78" s="222"/>
      <c r="C78" s="222"/>
      <c r="D78" s="212"/>
      <c r="E78" s="200">
        <f t="shared" si="33"/>
        <v>72</v>
      </c>
      <c r="F78" s="213">
        <f t="shared" si="31"/>
        <v>38.87688984881209</v>
      </c>
      <c r="G78" s="477"/>
      <c r="H78" s="219"/>
      <c r="I78" s="219"/>
      <c r="J78" s="219"/>
      <c r="K78" s="490"/>
      <c r="L78" s="204">
        <f t="shared" si="32"/>
        <v>51.839999999999996</v>
      </c>
      <c r="M78" s="205">
        <f t="shared" si="34"/>
        <v>16.167213077988965</v>
      </c>
      <c r="O78" s="214">
        <f t="shared" si="35"/>
      </c>
      <c r="P78" s="214">
        <f t="shared" si="36"/>
      </c>
      <c r="Q78" s="214">
        <f t="shared" si="37"/>
      </c>
      <c r="R78" s="214">
        <f t="shared" si="38"/>
      </c>
      <c r="S78" s="214">
        <f t="shared" si="39"/>
      </c>
      <c r="T78" s="214">
        <f t="shared" si="40"/>
      </c>
      <c r="U78" s="214" t="str">
        <f t="shared" si="41"/>
        <v>OK</v>
      </c>
      <c r="V78" s="214">
        <f t="shared" si="42"/>
        <v>203.0256974540829</v>
      </c>
      <c r="W78" s="215">
        <f t="shared" si="43"/>
      </c>
      <c r="X78" s="216">
        <f t="shared" si="44"/>
      </c>
      <c r="Y78" s="215">
        <f t="shared" si="45"/>
      </c>
      <c r="Z78" s="216">
        <f t="shared" si="46"/>
      </c>
      <c r="AA78" s="216">
        <f t="shared" si="47"/>
      </c>
      <c r="AB78" s="216">
        <f t="shared" si="48"/>
      </c>
      <c r="AC78" s="216">
        <f t="shared" si="49"/>
      </c>
      <c r="AD78" s="216">
        <f t="shared" si="50"/>
      </c>
      <c r="AE78" s="216" t="str">
        <f t="shared" si="51"/>
        <v>OK</v>
      </c>
      <c r="AF78" s="216">
        <f t="shared" si="52"/>
        <v>572.2260570467099</v>
      </c>
      <c r="AG78" s="216">
        <f t="shared" si="53"/>
      </c>
      <c r="AH78" s="215">
        <f t="shared" si="54"/>
      </c>
      <c r="AI78" s="217">
        <f t="shared" si="55"/>
      </c>
      <c r="AJ78" s="217">
        <f t="shared" si="56"/>
      </c>
      <c r="AK78" s="218">
        <f t="shared" si="28"/>
      </c>
      <c r="AL78" s="218">
        <f t="shared" si="29"/>
      </c>
      <c r="AM78" s="154"/>
    </row>
    <row r="79" spans="1:39" ht="15" customHeight="1">
      <c r="A79" s="482"/>
      <c r="B79" s="222"/>
      <c r="C79" s="222"/>
      <c r="D79" s="212"/>
      <c r="E79" s="200">
        <f t="shared" si="33"/>
        <v>73</v>
      </c>
      <c r="F79" s="213">
        <f t="shared" si="31"/>
        <v>39.416846652267814</v>
      </c>
      <c r="G79" s="477"/>
      <c r="H79" s="219"/>
      <c r="I79" s="219"/>
      <c r="J79" s="219"/>
      <c r="K79" s="490"/>
      <c r="L79" s="204">
        <f t="shared" si="32"/>
        <v>53.290000000000006</v>
      </c>
      <c r="M79" s="205">
        <f t="shared" si="34"/>
        <v>16.619421005517594</v>
      </c>
      <c r="O79" s="214">
        <f t="shared" si="35"/>
      </c>
      <c r="P79" s="214">
        <f t="shared" si="36"/>
      </c>
      <c r="Q79" s="214">
        <f t="shared" si="37"/>
      </c>
      <c r="R79" s="214">
        <f t="shared" si="38"/>
      </c>
      <c r="S79" s="214">
        <f t="shared" si="39"/>
      </c>
      <c r="T79" s="214">
        <f t="shared" si="40"/>
      </c>
      <c r="U79" s="214" t="str">
        <f t="shared" si="41"/>
        <v>OK</v>
      </c>
      <c r="V79" s="214">
        <f t="shared" si="42"/>
        <v>208.70446406882868</v>
      </c>
      <c r="W79" s="215">
        <f t="shared" si="43"/>
      </c>
      <c r="X79" s="216">
        <f t="shared" si="44"/>
      </c>
      <c r="Y79" s="215">
        <f t="shared" si="45"/>
      </c>
      <c r="Z79" s="216">
        <f t="shared" si="46"/>
      </c>
      <c r="AA79" s="216">
        <f t="shared" si="47"/>
      </c>
      <c r="AB79" s="216">
        <f t="shared" si="48"/>
      </c>
      <c r="AC79" s="216">
        <f t="shared" si="49"/>
      </c>
      <c r="AD79" s="216">
        <f t="shared" si="50"/>
      </c>
      <c r="AE79" s="216" t="str">
        <f t="shared" si="51"/>
        <v>OK</v>
      </c>
      <c r="AF79" s="216">
        <f t="shared" si="52"/>
        <v>588.2316084108637</v>
      </c>
      <c r="AG79" s="216">
        <f t="shared" si="53"/>
      </c>
      <c r="AH79" s="215">
        <f t="shared" si="54"/>
      </c>
      <c r="AI79" s="217">
        <f t="shared" si="55"/>
      </c>
      <c r="AJ79" s="217">
        <f t="shared" si="56"/>
      </c>
      <c r="AK79" s="218">
        <f t="shared" si="28"/>
      </c>
      <c r="AL79" s="218">
        <f t="shared" si="29"/>
      </c>
      <c r="AM79" s="154"/>
    </row>
    <row r="80" spans="1:39" ht="15" customHeight="1">
      <c r="A80" s="482"/>
      <c r="B80" s="222"/>
      <c r="C80" s="222"/>
      <c r="D80" s="212"/>
      <c r="E80" s="200">
        <f t="shared" si="33"/>
        <v>74</v>
      </c>
      <c r="F80" s="213">
        <f t="shared" si="31"/>
        <v>39.95680345572354</v>
      </c>
      <c r="G80" s="477"/>
      <c r="H80" s="219"/>
      <c r="I80" s="219"/>
      <c r="J80" s="219"/>
      <c r="K80" s="491"/>
      <c r="L80" s="204">
        <f t="shared" si="32"/>
        <v>54.76</v>
      </c>
      <c r="M80" s="205">
        <f t="shared" si="34"/>
        <v>17.077866283770753</v>
      </c>
      <c r="O80" s="223">
        <f t="shared" si="35"/>
      </c>
      <c r="P80" s="223">
        <f t="shared" si="36"/>
      </c>
      <c r="Q80" s="223">
        <f t="shared" si="37"/>
      </c>
      <c r="R80" s="223">
        <f t="shared" si="38"/>
      </c>
      <c r="S80" s="223">
        <f t="shared" si="39"/>
      </c>
      <c r="T80" s="224">
        <f t="shared" si="40"/>
      </c>
      <c r="U80" s="225" t="str">
        <f t="shared" si="41"/>
        <v>OK</v>
      </c>
      <c r="V80" s="225">
        <f t="shared" si="42"/>
        <v>214.46155849895024</v>
      </c>
      <c r="W80" s="215">
        <f t="shared" si="43"/>
      </c>
      <c r="X80" s="216">
        <f t="shared" si="44"/>
      </c>
      <c r="Y80" s="215">
        <f t="shared" si="45"/>
      </c>
      <c r="Z80" s="216">
        <f t="shared" si="46"/>
      </c>
      <c r="AA80" s="216">
        <f t="shared" si="47"/>
      </c>
      <c r="AB80" s="216">
        <f t="shared" si="48"/>
      </c>
      <c r="AC80" s="216">
        <f t="shared" si="49"/>
      </c>
      <c r="AD80" s="216">
        <f t="shared" si="50"/>
      </c>
      <c r="AE80" s="216" t="str">
        <f t="shared" si="51"/>
        <v>OK</v>
      </c>
      <c r="AF80" s="216">
        <f t="shared" si="52"/>
        <v>604.4579260007299</v>
      </c>
      <c r="AG80" s="216">
        <f t="shared" si="53"/>
      </c>
      <c r="AH80" s="215">
        <f t="shared" si="54"/>
      </c>
      <c r="AI80" s="217">
        <f t="shared" si="55"/>
      </c>
      <c r="AJ80" s="217">
        <f t="shared" si="56"/>
      </c>
      <c r="AK80" s="218">
        <f t="shared" si="28"/>
      </c>
      <c r="AL80" s="218">
        <f t="shared" si="29"/>
      </c>
      <c r="AM80" s="154"/>
    </row>
    <row r="81" spans="1:46" ht="15" customHeight="1">
      <c r="A81" s="482">
        <v>9</v>
      </c>
      <c r="B81" s="222"/>
      <c r="C81" s="222"/>
      <c r="D81" s="222"/>
      <c r="E81" s="226">
        <f t="shared" si="33"/>
        <v>75</v>
      </c>
      <c r="F81" s="227">
        <f t="shared" si="31"/>
        <v>40.49676025917926</v>
      </c>
      <c r="G81" s="484" t="s">
        <v>44</v>
      </c>
      <c r="H81" s="228"/>
      <c r="I81" s="228"/>
      <c r="J81" s="228"/>
      <c r="K81" s="485" t="s">
        <v>45</v>
      </c>
      <c r="L81" s="229">
        <f t="shared" si="32"/>
        <v>56.25</v>
      </c>
      <c r="M81" s="230">
        <f t="shared" si="34"/>
        <v>17.542548912748444</v>
      </c>
      <c r="N81" s="231"/>
      <c r="O81" s="232">
        <f t="shared" si="35"/>
      </c>
      <c r="P81" s="232">
        <f t="shared" si="36"/>
      </c>
      <c r="Q81" s="232">
        <f t="shared" si="37"/>
      </c>
      <c r="R81" s="232">
        <f t="shared" si="38"/>
      </c>
      <c r="S81" s="232">
        <f t="shared" si="39"/>
      </c>
      <c r="T81" s="232">
        <f t="shared" si="40"/>
      </c>
      <c r="U81" s="233">
        <f aca="true" t="shared" si="57" ref="U81:U92">IF((M81*3.55*$U$6*COS(RADIANS($AN$6)))&lt;$W$2,"OK","")</f>
      </c>
      <c r="V81" s="234">
        <f aca="true" t="shared" si="58" ref="V81:V92">IF((M81*3.55*$U$6*COS(RADIANS($AN$6)))&lt;$W$2,M81*4*$U$6*SIN(RADIANS($AM$6)),"")</f>
      </c>
      <c r="W81" s="235">
        <f t="shared" si="43"/>
      </c>
      <c r="X81" s="236">
        <f t="shared" si="44"/>
      </c>
      <c r="Y81" s="235">
        <f aca="true" t="shared" si="59" ref="Y81:Y108">IF((M81*3.8*$Y$6*COS(RADIANS($AO$6)))&lt;$W$2,"OK","")</f>
      </c>
      <c r="Z81" s="236">
        <f>IF((M81*4.5*$Y$6*COS(RADIANS($AO$6)))&lt;$W$2,M81*4.5*$Y$6*SIN(RADIANS($AP$6)),"")</f>
      </c>
      <c r="AA81" s="236">
        <f t="shared" si="47"/>
      </c>
      <c r="AB81" s="236">
        <f t="shared" si="48"/>
      </c>
      <c r="AC81" s="236">
        <f t="shared" si="49"/>
      </c>
      <c r="AD81" s="236">
        <f t="shared" si="50"/>
      </c>
      <c r="AE81" s="236" t="str">
        <f t="shared" si="51"/>
        <v>OK</v>
      </c>
      <c r="AF81" s="236">
        <f t="shared" si="52"/>
        <v>620.9050098163085</v>
      </c>
      <c r="AG81" s="236">
        <f t="shared" si="53"/>
      </c>
      <c r="AH81" s="235">
        <f t="shared" si="54"/>
      </c>
      <c r="AI81" s="237">
        <f t="shared" si="55"/>
      </c>
      <c r="AJ81" s="237">
        <f t="shared" si="56"/>
      </c>
      <c r="AK81" s="218">
        <f t="shared" si="28"/>
      </c>
      <c r="AL81" s="218">
        <f t="shared" si="29"/>
      </c>
      <c r="AM81" s="154"/>
      <c r="AN81" s="154"/>
      <c r="AO81" s="154"/>
      <c r="AP81" s="154"/>
      <c r="AQ81" s="154"/>
      <c r="AR81" s="154"/>
      <c r="AS81" s="154"/>
      <c r="AT81" s="154"/>
    </row>
    <row r="82" spans="1:46" ht="15" customHeight="1">
      <c r="A82" s="482"/>
      <c r="B82" s="222"/>
      <c r="C82" s="222"/>
      <c r="D82" s="222"/>
      <c r="E82" s="226">
        <f t="shared" si="33"/>
        <v>76</v>
      </c>
      <c r="F82" s="227">
        <f t="shared" si="31"/>
        <v>41.036717062634985</v>
      </c>
      <c r="G82" s="484"/>
      <c r="H82" s="228"/>
      <c r="I82" s="228"/>
      <c r="J82" s="228"/>
      <c r="K82" s="485"/>
      <c r="L82" s="229">
        <f t="shared" si="32"/>
        <v>57.76</v>
      </c>
      <c r="M82" s="230">
        <f t="shared" si="34"/>
        <v>18.01346889245067</v>
      </c>
      <c r="N82" s="231"/>
      <c r="O82" s="232">
        <f t="shared" si="35"/>
      </c>
      <c r="P82" s="232">
        <f t="shared" si="36"/>
      </c>
      <c r="Q82" s="232">
        <f t="shared" si="37"/>
      </c>
      <c r="R82" s="232">
        <f t="shared" si="38"/>
      </c>
      <c r="S82" s="232">
        <f t="shared" si="39"/>
      </c>
      <c r="T82" s="232">
        <f t="shared" si="40"/>
      </c>
      <c r="U82" s="238">
        <f t="shared" si="57"/>
      </c>
      <c r="V82" s="239">
        <f t="shared" si="58"/>
      </c>
      <c r="W82" s="235">
        <f t="shared" si="43"/>
      </c>
      <c r="X82" s="236">
        <f t="shared" si="44"/>
      </c>
      <c r="Y82" s="235">
        <f t="shared" si="59"/>
      </c>
      <c r="Z82" s="236">
        <f>IF((M82*4.5*$Y$6*COS(RADIANS($AO$6)))&lt;$W$2,M82*4.5*$Y$6*SIN(RADIANS($AP$6)),"")</f>
      </c>
      <c r="AA82" s="236">
        <f t="shared" si="47"/>
      </c>
      <c r="AB82" s="236">
        <f t="shared" si="48"/>
      </c>
      <c r="AC82" s="236">
        <f t="shared" si="49"/>
      </c>
      <c r="AD82" s="236">
        <f t="shared" si="50"/>
      </c>
      <c r="AE82" s="236" t="str">
        <f t="shared" si="51"/>
        <v>OK</v>
      </c>
      <c r="AF82" s="236">
        <f t="shared" si="52"/>
        <v>637.5728598575997</v>
      </c>
      <c r="AG82" s="236">
        <f t="shared" si="53"/>
      </c>
      <c r="AH82" s="235">
        <f t="shared" si="54"/>
      </c>
      <c r="AI82" s="237">
        <f t="shared" si="55"/>
      </c>
      <c r="AJ82" s="237">
        <f t="shared" si="56"/>
      </c>
      <c r="AK82" s="218">
        <f t="shared" si="28"/>
      </c>
      <c r="AL82" s="218">
        <f t="shared" si="29"/>
      </c>
      <c r="AM82" s="154"/>
      <c r="AN82" s="154"/>
      <c r="AO82" s="154"/>
      <c r="AP82" s="154"/>
      <c r="AQ82" s="154"/>
      <c r="AR82" s="154"/>
      <c r="AS82" s="154"/>
      <c r="AT82" s="154"/>
    </row>
    <row r="83" spans="1:46" ht="15" customHeight="1">
      <c r="A83" s="482"/>
      <c r="B83" s="222"/>
      <c r="C83" s="222"/>
      <c r="D83" s="222"/>
      <c r="E83" s="226">
        <f t="shared" si="33"/>
        <v>77</v>
      </c>
      <c r="F83" s="227">
        <f t="shared" si="31"/>
        <v>41.57667386609071</v>
      </c>
      <c r="G83" s="484"/>
      <c r="H83" s="228"/>
      <c r="I83" s="228"/>
      <c r="J83" s="228"/>
      <c r="K83" s="485"/>
      <c r="L83" s="229">
        <f t="shared" si="32"/>
        <v>59.29</v>
      </c>
      <c r="M83" s="230">
        <f t="shared" si="34"/>
        <v>18.490626222877427</v>
      </c>
      <c r="N83" s="231"/>
      <c r="O83" s="232">
        <f t="shared" si="35"/>
      </c>
      <c r="P83" s="232">
        <f t="shared" si="36"/>
      </c>
      <c r="Q83" s="232">
        <f t="shared" si="37"/>
      </c>
      <c r="R83" s="232">
        <f t="shared" si="38"/>
      </c>
      <c r="S83" s="232">
        <f t="shared" si="39"/>
      </c>
      <c r="T83" s="232">
        <f t="shared" si="40"/>
      </c>
      <c r="U83" s="238">
        <f t="shared" si="57"/>
      </c>
      <c r="V83" s="239">
        <f t="shared" si="58"/>
      </c>
      <c r="W83" s="235">
        <f t="shared" si="43"/>
      </c>
      <c r="X83" s="236">
        <f t="shared" si="44"/>
      </c>
      <c r="Y83" s="235">
        <f t="shared" si="59"/>
      </c>
      <c r="Z83" s="236">
        <f aca="true" t="shared" si="60" ref="Z83:Z108">IF((M83*4.5*$Y$6*COS(RADIANS($AO$6)))&lt;$W$2,M83*4.5*$Y$6*SIN(RADIANS($AP$6)),"")</f>
      </c>
      <c r="AA83" s="236">
        <f t="shared" si="47"/>
      </c>
      <c r="AB83" s="236">
        <f t="shared" si="48"/>
      </c>
      <c r="AC83" s="236">
        <f t="shared" si="49"/>
      </c>
      <c r="AD83" s="236">
        <f t="shared" si="50"/>
      </c>
      <c r="AE83" s="236">
        <f t="shared" si="51"/>
      </c>
      <c r="AF83" s="236">
        <f t="shared" si="52"/>
      </c>
      <c r="AG83" s="236">
        <f t="shared" si="53"/>
      </c>
      <c r="AH83" s="235">
        <f t="shared" si="54"/>
      </c>
      <c r="AI83" s="237">
        <f t="shared" si="55"/>
      </c>
      <c r="AJ83" s="237">
        <f t="shared" si="56"/>
      </c>
      <c r="AK83" s="218">
        <f t="shared" si="28"/>
      </c>
      <c r="AL83" s="218">
        <f t="shared" si="29"/>
      </c>
      <c r="AM83" s="154"/>
      <c r="AN83" s="154"/>
      <c r="AO83" s="154"/>
      <c r="AP83" s="154"/>
      <c r="AQ83" s="154"/>
      <c r="AR83" s="154"/>
      <c r="AS83" s="154"/>
      <c r="AT83" s="154"/>
    </row>
    <row r="84" spans="1:46" ht="15" customHeight="1">
      <c r="A84" s="482"/>
      <c r="B84" s="222"/>
      <c r="C84" s="222"/>
      <c r="D84" s="222"/>
      <c r="E84" s="226">
        <f t="shared" si="33"/>
        <v>78</v>
      </c>
      <c r="F84" s="227">
        <f t="shared" si="31"/>
        <v>42.11663066954643</v>
      </c>
      <c r="G84" s="484"/>
      <c r="H84" s="228"/>
      <c r="I84" s="228"/>
      <c r="J84" s="228"/>
      <c r="K84" s="485"/>
      <c r="L84" s="229">
        <f t="shared" si="32"/>
        <v>60.84</v>
      </c>
      <c r="M84" s="230">
        <f t="shared" si="34"/>
        <v>18.97402090402872</v>
      </c>
      <c r="N84" s="231"/>
      <c r="O84" s="232">
        <f t="shared" si="35"/>
      </c>
      <c r="P84" s="232">
        <f t="shared" si="36"/>
      </c>
      <c r="Q84" s="232">
        <f t="shared" si="37"/>
      </c>
      <c r="R84" s="232">
        <f t="shared" si="38"/>
      </c>
      <c r="S84" s="232">
        <f t="shared" si="39"/>
      </c>
      <c r="T84" s="232">
        <f t="shared" si="40"/>
      </c>
      <c r="U84" s="240">
        <f t="shared" si="57"/>
      </c>
      <c r="V84" s="241">
        <f t="shared" si="58"/>
      </c>
      <c r="W84" s="235">
        <f t="shared" si="43"/>
      </c>
      <c r="X84" s="236">
        <f t="shared" si="44"/>
      </c>
      <c r="Y84" s="235">
        <f t="shared" si="59"/>
      </c>
      <c r="Z84" s="236">
        <f t="shared" si="60"/>
      </c>
      <c r="AA84" s="236">
        <f t="shared" si="47"/>
      </c>
      <c r="AB84" s="236">
        <f t="shared" si="48"/>
      </c>
      <c r="AC84" s="236">
        <f t="shared" si="49"/>
      </c>
      <c r="AD84" s="236">
        <f t="shared" si="50"/>
      </c>
      <c r="AE84" s="236">
        <f t="shared" si="51"/>
      </c>
      <c r="AF84" s="236">
        <f t="shared" si="52"/>
      </c>
      <c r="AG84" s="236">
        <f t="shared" si="53"/>
      </c>
      <c r="AH84" s="235">
        <f t="shared" si="54"/>
      </c>
      <c r="AI84" s="237">
        <f t="shared" si="55"/>
      </c>
      <c r="AJ84" s="237">
        <f t="shared" si="56"/>
      </c>
      <c r="AK84" s="218">
        <f t="shared" si="28"/>
      </c>
      <c r="AL84" s="218">
        <f t="shared" si="29"/>
      </c>
      <c r="AM84" s="154"/>
      <c r="AN84" s="154"/>
      <c r="AO84" s="154"/>
      <c r="AP84" s="154"/>
      <c r="AQ84" s="154"/>
      <c r="AR84" s="154"/>
      <c r="AS84" s="154"/>
      <c r="AT84" s="154"/>
    </row>
    <row r="85" spans="1:46" ht="15" customHeight="1">
      <c r="A85" s="482"/>
      <c r="B85" s="222"/>
      <c r="C85" s="222"/>
      <c r="D85" s="222"/>
      <c r="E85" s="226">
        <f t="shared" si="33"/>
        <v>79</v>
      </c>
      <c r="F85" s="227">
        <f t="shared" si="31"/>
        <v>42.656587473002155</v>
      </c>
      <c r="G85" s="484"/>
      <c r="H85" s="228"/>
      <c r="I85" s="228"/>
      <c r="J85" s="228"/>
      <c r="K85" s="485"/>
      <c r="L85" s="229">
        <f t="shared" si="32"/>
        <v>62.41</v>
      </c>
      <c r="M85" s="230">
        <f t="shared" si="34"/>
        <v>19.46365293590454</v>
      </c>
      <c r="N85" s="231"/>
      <c r="O85" s="232">
        <f t="shared" si="35"/>
      </c>
      <c r="P85" s="232">
        <f t="shared" si="36"/>
      </c>
      <c r="Q85" s="232">
        <f t="shared" si="37"/>
      </c>
      <c r="R85" s="232">
        <f t="shared" si="38"/>
      </c>
      <c r="S85" s="232">
        <f t="shared" si="39"/>
      </c>
      <c r="T85" s="232">
        <f t="shared" si="40"/>
      </c>
      <c r="U85" s="240">
        <f t="shared" si="57"/>
      </c>
      <c r="V85" s="241">
        <f t="shared" si="58"/>
      </c>
      <c r="W85" s="235">
        <f t="shared" si="43"/>
      </c>
      <c r="X85" s="236">
        <f t="shared" si="44"/>
      </c>
      <c r="Y85" s="235">
        <f t="shared" si="59"/>
      </c>
      <c r="Z85" s="236">
        <f t="shared" si="60"/>
      </c>
      <c r="AA85" s="236">
        <f t="shared" si="47"/>
      </c>
      <c r="AB85" s="236">
        <f t="shared" si="48"/>
      </c>
      <c r="AC85" s="236">
        <f t="shared" si="49"/>
      </c>
      <c r="AD85" s="236">
        <f t="shared" si="50"/>
      </c>
      <c r="AE85" s="236">
        <f t="shared" si="51"/>
      </c>
      <c r="AF85" s="236">
        <f t="shared" si="52"/>
      </c>
      <c r="AG85" s="236">
        <f t="shared" si="53"/>
      </c>
      <c r="AH85" s="235">
        <f t="shared" si="54"/>
      </c>
      <c r="AI85" s="237">
        <f t="shared" si="55"/>
      </c>
      <c r="AJ85" s="237">
        <f t="shared" si="56"/>
      </c>
      <c r="AK85" s="218">
        <f t="shared" si="28"/>
      </c>
      <c r="AL85" s="218">
        <f t="shared" si="29"/>
      </c>
      <c r="AM85" s="154"/>
      <c r="AN85" s="154"/>
      <c r="AO85" s="154"/>
      <c r="AP85" s="154"/>
      <c r="AQ85" s="154"/>
      <c r="AR85" s="154"/>
      <c r="AS85" s="154"/>
      <c r="AT85" s="154"/>
    </row>
    <row r="86" spans="1:46" ht="15" customHeight="1">
      <c r="A86" s="482"/>
      <c r="B86" s="222"/>
      <c r="C86" s="222"/>
      <c r="D86" s="222"/>
      <c r="E86" s="226">
        <f t="shared" si="33"/>
        <v>80</v>
      </c>
      <c r="F86" s="227">
        <f t="shared" si="31"/>
        <v>43.19654427645788</v>
      </c>
      <c r="G86" s="484"/>
      <c r="H86" s="228"/>
      <c r="I86" s="228"/>
      <c r="J86" s="228"/>
      <c r="K86" s="485"/>
      <c r="L86" s="229">
        <f t="shared" si="32"/>
        <v>64</v>
      </c>
      <c r="M86" s="230">
        <f t="shared" si="34"/>
        <v>19.959522318504895</v>
      </c>
      <c r="N86" s="231"/>
      <c r="O86" s="232">
        <f t="shared" si="35"/>
      </c>
      <c r="P86" s="232">
        <f t="shared" si="36"/>
      </c>
      <c r="Q86" s="232">
        <f t="shared" si="37"/>
      </c>
      <c r="R86" s="232">
        <f t="shared" si="38"/>
      </c>
      <c r="S86" s="232">
        <f t="shared" si="39"/>
      </c>
      <c r="T86" s="232">
        <f t="shared" si="40"/>
      </c>
      <c r="U86" s="240">
        <f t="shared" si="57"/>
      </c>
      <c r="V86" s="241">
        <f t="shared" si="58"/>
      </c>
      <c r="W86" s="235">
        <f t="shared" si="43"/>
      </c>
      <c r="X86" s="236">
        <f t="shared" si="44"/>
      </c>
      <c r="Y86" s="235">
        <f t="shared" si="59"/>
      </c>
      <c r="Z86" s="236">
        <f t="shared" si="60"/>
      </c>
      <c r="AA86" s="236">
        <f t="shared" si="47"/>
      </c>
      <c r="AB86" s="236">
        <f t="shared" si="48"/>
      </c>
      <c r="AC86" s="236">
        <f t="shared" si="49"/>
      </c>
      <c r="AD86" s="236">
        <f t="shared" si="50"/>
      </c>
      <c r="AE86" s="236">
        <f t="shared" si="51"/>
      </c>
      <c r="AF86" s="236">
        <f t="shared" si="52"/>
      </c>
      <c r="AG86" s="236">
        <f t="shared" si="53"/>
      </c>
      <c r="AH86" s="235">
        <f t="shared" si="54"/>
      </c>
      <c r="AI86" s="237">
        <f t="shared" si="55"/>
      </c>
      <c r="AJ86" s="237">
        <f t="shared" si="56"/>
      </c>
      <c r="AK86" s="218">
        <f aca="true" t="shared" si="61" ref="AK86:AK107">IF((L86*4.5*$AK$6*COS(RADIANS(22)))&lt;$W$2,"OK","")</f>
      </c>
      <c r="AL86" s="218">
        <f aca="true" t="shared" si="62" ref="AL86:AL107">IF((L86*4.5*$AK$6*COS(RADIANS(22)))&lt;$W$2,L86*4.5*$AK$6*SIN(RADIANS(70)),"")</f>
      </c>
      <c r="AM86" s="154"/>
      <c r="AN86" s="154"/>
      <c r="AO86" s="154"/>
      <c r="AP86" s="154"/>
      <c r="AQ86" s="154"/>
      <c r="AR86" s="154"/>
      <c r="AS86" s="154"/>
      <c r="AT86" s="154"/>
    </row>
    <row r="87" spans="1:46" ht="15" customHeight="1">
      <c r="A87" s="482"/>
      <c r="B87" s="222"/>
      <c r="C87" s="222"/>
      <c r="D87" s="222"/>
      <c r="E87" s="226">
        <f t="shared" si="33"/>
        <v>81</v>
      </c>
      <c r="F87" s="227">
        <f t="shared" si="31"/>
        <v>43.7365010799136</v>
      </c>
      <c r="G87" s="484"/>
      <c r="H87" s="228"/>
      <c r="I87" s="228"/>
      <c r="J87" s="228"/>
      <c r="K87" s="485"/>
      <c r="L87" s="229">
        <f t="shared" si="32"/>
        <v>65.61</v>
      </c>
      <c r="M87" s="230">
        <f t="shared" si="34"/>
        <v>20.461629051829785</v>
      </c>
      <c r="N87" s="231"/>
      <c r="O87" s="232">
        <f t="shared" si="35"/>
      </c>
      <c r="P87" s="232">
        <f t="shared" si="36"/>
      </c>
      <c r="Q87" s="232">
        <f t="shared" si="37"/>
      </c>
      <c r="R87" s="232">
        <f t="shared" si="38"/>
      </c>
      <c r="S87" s="232">
        <f t="shared" si="39"/>
      </c>
      <c r="T87" s="232">
        <f t="shared" si="40"/>
      </c>
      <c r="U87" s="240">
        <f t="shared" si="57"/>
      </c>
      <c r="V87" s="241">
        <f t="shared" si="58"/>
      </c>
      <c r="W87" s="235">
        <f t="shared" si="43"/>
      </c>
      <c r="X87" s="236">
        <f t="shared" si="44"/>
      </c>
      <c r="Y87" s="235">
        <f t="shared" si="59"/>
      </c>
      <c r="Z87" s="236">
        <f t="shared" si="60"/>
      </c>
      <c r="AA87" s="236">
        <f t="shared" si="47"/>
      </c>
      <c r="AB87" s="236">
        <f t="shared" si="48"/>
      </c>
      <c r="AC87" s="236">
        <f t="shared" si="49"/>
      </c>
      <c r="AD87" s="236">
        <f t="shared" si="50"/>
      </c>
      <c r="AE87" s="236">
        <f t="shared" si="51"/>
      </c>
      <c r="AF87" s="236">
        <f t="shared" si="52"/>
      </c>
      <c r="AG87" s="236">
        <f t="shared" si="53"/>
      </c>
      <c r="AH87" s="235">
        <f t="shared" si="54"/>
      </c>
      <c r="AI87" s="237">
        <f t="shared" si="55"/>
      </c>
      <c r="AJ87" s="237">
        <f t="shared" si="56"/>
      </c>
      <c r="AK87" s="218">
        <f t="shared" si="61"/>
      </c>
      <c r="AL87" s="218">
        <f t="shared" si="62"/>
      </c>
      <c r="AM87" s="154"/>
      <c r="AN87" s="154"/>
      <c r="AO87" s="154"/>
      <c r="AP87" s="154"/>
      <c r="AQ87" s="154"/>
      <c r="AR87" s="154"/>
      <c r="AS87" s="154"/>
      <c r="AT87" s="154"/>
    </row>
    <row r="88" spans="1:46" ht="15" customHeight="1">
      <c r="A88" s="482"/>
      <c r="B88" s="222"/>
      <c r="C88" s="222"/>
      <c r="D88" s="222"/>
      <c r="E88" s="226">
        <f t="shared" si="33"/>
        <v>82</v>
      </c>
      <c r="F88" s="227">
        <f t="shared" si="31"/>
        <v>44.276457883369325</v>
      </c>
      <c r="G88" s="484"/>
      <c r="H88" s="228"/>
      <c r="I88" s="228"/>
      <c r="J88" s="228"/>
      <c r="K88" s="485"/>
      <c r="L88" s="229">
        <f t="shared" si="32"/>
        <v>67.24</v>
      </c>
      <c r="M88" s="230">
        <f t="shared" si="34"/>
        <v>20.969973135879204</v>
      </c>
      <c r="N88" s="231"/>
      <c r="O88" s="232">
        <f t="shared" si="35"/>
      </c>
      <c r="P88" s="232">
        <f t="shared" si="36"/>
      </c>
      <c r="Q88" s="232">
        <f t="shared" si="37"/>
      </c>
      <c r="R88" s="232">
        <f t="shared" si="38"/>
      </c>
      <c r="S88" s="232">
        <f t="shared" si="39"/>
      </c>
      <c r="T88" s="232">
        <f t="shared" si="40"/>
      </c>
      <c r="U88" s="240">
        <f t="shared" si="57"/>
      </c>
      <c r="V88" s="241">
        <f t="shared" si="58"/>
      </c>
      <c r="W88" s="235">
        <f t="shared" si="43"/>
      </c>
      <c r="X88" s="236">
        <f t="shared" si="44"/>
      </c>
      <c r="Y88" s="235">
        <f t="shared" si="59"/>
      </c>
      <c r="Z88" s="236">
        <f t="shared" si="60"/>
      </c>
      <c r="AA88" s="236">
        <f t="shared" si="47"/>
      </c>
      <c r="AB88" s="236">
        <f t="shared" si="48"/>
      </c>
      <c r="AC88" s="236">
        <f t="shared" si="49"/>
      </c>
      <c r="AD88" s="236">
        <f t="shared" si="50"/>
      </c>
      <c r="AE88" s="236">
        <f t="shared" si="51"/>
      </c>
      <c r="AF88" s="236">
        <f t="shared" si="52"/>
      </c>
      <c r="AG88" s="236">
        <f t="shared" si="53"/>
      </c>
      <c r="AH88" s="235">
        <f t="shared" si="54"/>
      </c>
      <c r="AI88" s="237">
        <f t="shared" si="55"/>
      </c>
      <c r="AJ88" s="237">
        <f t="shared" si="56"/>
      </c>
      <c r="AK88" s="218">
        <f t="shared" si="61"/>
      </c>
      <c r="AL88" s="218">
        <f t="shared" si="62"/>
      </c>
      <c r="AM88" s="154"/>
      <c r="AN88" s="154"/>
      <c r="AO88" s="154"/>
      <c r="AP88" s="154"/>
      <c r="AQ88" s="154"/>
      <c r="AR88" s="154"/>
      <c r="AS88" s="154"/>
      <c r="AT88" s="154"/>
    </row>
    <row r="89" spans="1:46" ht="15" customHeight="1">
      <c r="A89" s="482"/>
      <c r="B89" s="222"/>
      <c r="C89" s="222"/>
      <c r="D89" s="222"/>
      <c r="E89" s="226">
        <f t="shared" si="33"/>
        <v>83</v>
      </c>
      <c r="F89" s="227">
        <f t="shared" si="31"/>
        <v>44.81641468682505</v>
      </c>
      <c r="G89" s="484"/>
      <c r="H89" s="228"/>
      <c r="I89" s="228"/>
      <c r="J89" s="228"/>
      <c r="K89" s="485"/>
      <c r="L89" s="229">
        <f t="shared" si="32"/>
        <v>68.89</v>
      </c>
      <c r="M89" s="230">
        <f t="shared" si="34"/>
        <v>21.484554570653163</v>
      </c>
      <c r="N89" s="231"/>
      <c r="O89" s="232">
        <f t="shared" si="35"/>
      </c>
      <c r="P89" s="232">
        <f t="shared" si="36"/>
      </c>
      <c r="Q89" s="232">
        <f t="shared" si="37"/>
      </c>
      <c r="R89" s="232">
        <f t="shared" si="38"/>
      </c>
      <c r="S89" s="232">
        <f t="shared" si="39"/>
      </c>
      <c r="T89" s="232">
        <f t="shared" si="40"/>
      </c>
      <c r="U89" s="240">
        <f t="shared" si="57"/>
      </c>
      <c r="V89" s="241">
        <f t="shared" si="58"/>
      </c>
      <c r="W89" s="235">
        <f t="shared" si="43"/>
      </c>
      <c r="X89" s="236">
        <f t="shared" si="44"/>
      </c>
      <c r="Y89" s="235">
        <f t="shared" si="59"/>
      </c>
      <c r="Z89" s="236">
        <f t="shared" si="60"/>
      </c>
      <c r="AA89" s="236">
        <f t="shared" si="47"/>
      </c>
      <c r="AB89" s="236">
        <f t="shared" si="48"/>
      </c>
      <c r="AC89" s="236">
        <f t="shared" si="49"/>
      </c>
      <c r="AD89" s="236">
        <f t="shared" si="50"/>
      </c>
      <c r="AE89" s="236">
        <f t="shared" si="51"/>
      </c>
      <c r="AF89" s="236">
        <f t="shared" si="52"/>
      </c>
      <c r="AG89" s="236">
        <f t="shared" si="53"/>
      </c>
      <c r="AH89" s="235">
        <f t="shared" si="54"/>
      </c>
      <c r="AI89" s="237">
        <f t="shared" si="55"/>
      </c>
      <c r="AJ89" s="237">
        <f t="shared" si="56"/>
      </c>
      <c r="AK89" s="218">
        <f t="shared" si="61"/>
      </c>
      <c r="AL89" s="218">
        <f t="shared" si="62"/>
      </c>
      <c r="AM89" s="154"/>
      <c r="AN89" s="154"/>
      <c r="AO89" s="154"/>
      <c r="AP89" s="154"/>
      <c r="AQ89" s="154"/>
      <c r="AR89" s="154"/>
      <c r="AS89" s="154"/>
      <c r="AT89" s="154"/>
    </row>
    <row r="90" spans="1:46" ht="15" customHeight="1">
      <c r="A90" s="482"/>
      <c r="B90" s="222"/>
      <c r="C90" s="222"/>
      <c r="D90" s="222"/>
      <c r="E90" s="226">
        <f t="shared" si="33"/>
        <v>84</v>
      </c>
      <c r="F90" s="227">
        <f t="shared" si="31"/>
        <v>45.35637149028078</v>
      </c>
      <c r="G90" s="484"/>
      <c r="H90" s="228"/>
      <c r="I90" s="228"/>
      <c r="J90" s="228"/>
      <c r="K90" s="485"/>
      <c r="L90" s="229">
        <f t="shared" si="32"/>
        <v>70.56</v>
      </c>
      <c r="M90" s="230">
        <f t="shared" si="34"/>
        <v>22.00537335615165</v>
      </c>
      <c r="N90" s="231"/>
      <c r="O90" s="232">
        <f t="shared" si="35"/>
      </c>
      <c r="P90" s="232">
        <f t="shared" si="36"/>
      </c>
      <c r="Q90" s="232">
        <f t="shared" si="37"/>
      </c>
      <c r="R90" s="232">
        <f t="shared" si="38"/>
      </c>
      <c r="S90" s="232">
        <f t="shared" si="39"/>
      </c>
      <c r="T90" s="232">
        <f t="shared" si="40"/>
      </c>
      <c r="U90" s="240">
        <f t="shared" si="57"/>
      </c>
      <c r="V90" s="241">
        <f t="shared" si="58"/>
      </c>
      <c r="W90" s="235">
        <f t="shared" si="43"/>
      </c>
      <c r="X90" s="236">
        <f t="shared" si="44"/>
      </c>
      <c r="Y90" s="235">
        <f t="shared" si="59"/>
      </c>
      <c r="Z90" s="236">
        <f t="shared" si="60"/>
      </c>
      <c r="AA90" s="236">
        <f t="shared" si="47"/>
      </c>
      <c r="AB90" s="236">
        <f t="shared" si="48"/>
      </c>
      <c r="AC90" s="236">
        <f t="shared" si="49"/>
      </c>
      <c r="AD90" s="236">
        <f t="shared" si="50"/>
      </c>
      <c r="AE90" s="236">
        <f t="shared" si="51"/>
      </c>
      <c r="AF90" s="236">
        <f t="shared" si="52"/>
      </c>
      <c r="AG90" s="236">
        <f t="shared" si="53"/>
      </c>
      <c r="AH90" s="235">
        <f t="shared" si="54"/>
      </c>
      <c r="AI90" s="237">
        <f t="shared" si="55"/>
      </c>
      <c r="AJ90" s="237">
        <f t="shared" si="56"/>
      </c>
      <c r="AK90" s="218">
        <f t="shared" si="61"/>
      </c>
      <c r="AL90" s="218">
        <f t="shared" si="62"/>
      </c>
      <c r="AM90" s="154"/>
      <c r="AN90" s="154"/>
      <c r="AO90" s="154"/>
      <c r="AP90" s="154"/>
      <c r="AQ90" s="154"/>
      <c r="AR90" s="154"/>
      <c r="AS90" s="154"/>
      <c r="AT90" s="154"/>
    </row>
    <row r="91" spans="1:46" ht="15" customHeight="1">
      <c r="A91" s="482"/>
      <c r="B91" s="222"/>
      <c r="C91" s="222"/>
      <c r="D91" s="222"/>
      <c r="E91" s="226">
        <f t="shared" si="33"/>
        <v>85</v>
      </c>
      <c r="F91" s="227">
        <f t="shared" si="31"/>
        <v>45.8963282937365</v>
      </c>
      <c r="G91" s="484"/>
      <c r="H91" s="228"/>
      <c r="I91" s="228"/>
      <c r="J91" s="228"/>
      <c r="K91" s="485"/>
      <c r="L91" s="229">
        <f t="shared" si="32"/>
        <v>72.25</v>
      </c>
      <c r="M91" s="230">
        <f t="shared" si="34"/>
        <v>22.532429492374668</v>
      </c>
      <c r="N91" s="231"/>
      <c r="O91" s="232">
        <f t="shared" si="35"/>
      </c>
      <c r="P91" s="232">
        <f t="shared" si="36"/>
      </c>
      <c r="Q91" s="232">
        <f t="shared" si="37"/>
      </c>
      <c r="R91" s="232">
        <f t="shared" si="38"/>
      </c>
      <c r="S91" s="232">
        <f t="shared" si="39"/>
      </c>
      <c r="T91" s="232">
        <f t="shared" si="40"/>
      </c>
      <c r="U91" s="240">
        <f t="shared" si="57"/>
      </c>
      <c r="V91" s="241">
        <f t="shared" si="58"/>
      </c>
      <c r="W91" s="235">
        <f t="shared" si="43"/>
      </c>
      <c r="X91" s="236">
        <f t="shared" si="44"/>
      </c>
      <c r="Y91" s="235">
        <f t="shared" si="59"/>
      </c>
      <c r="Z91" s="236">
        <f t="shared" si="60"/>
      </c>
      <c r="AA91" s="236">
        <f t="shared" si="47"/>
      </c>
      <c r="AB91" s="236">
        <f t="shared" si="48"/>
      </c>
      <c r="AC91" s="236">
        <f t="shared" si="49"/>
      </c>
      <c r="AD91" s="236">
        <f t="shared" si="50"/>
      </c>
      <c r="AE91" s="236">
        <f t="shared" si="51"/>
      </c>
      <c r="AF91" s="236">
        <f t="shared" si="52"/>
      </c>
      <c r="AG91" s="236">
        <f t="shared" si="53"/>
      </c>
      <c r="AH91" s="235">
        <f t="shared" si="54"/>
      </c>
      <c r="AI91" s="237">
        <f t="shared" si="55"/>
      </c>
      <c r="AJ91" s="237">
        <f t="shared" si="56"/>
      </c>
      <c r="AK91" s="218">
        <f t="shared" si="61"/>
      </c>
      <c r="AL91" s="218">
        <f t="shared" si="62"/>
      </c>
      <c r="AM91" s="154"/>
      <c r="AN91" s="154"/>
      <c r="AO91" s="154"/>
      <c r="AP91" s="154"/>
      <c r="AQ91" s="154"/>
      <c r="AR91" s="154"/>
      <c r="AS91" s="154"/>
      <c r="AT91" s="154"/>
    </row>
    <row r="92" spans="1:46" ht="15" customHeight="1">
      <c r="A92" s="482"/>
      <c r="B92" s="222"/>
      <c r="C92" s="222"/>
      <c r="D92" s="222"/>
      <c r="E92" s="226">
        <f t="shared" si="33"/>
        <v>86</v>
      </c>
      <c r="F92" s="227">
        <f t="shared" si="31"/>
        <v>46.436285097192226</v>
      </c>
      <c r="G92" s="484"/>
      <c r="H92" s="228"/>
      <c r="I92" s="228"/>
      <c r="J92" s="228"/>
      <c r="K92" s="485"/>
      <c r="L92" s="229">
        <f t="shared" si="32"/>
        <v>73.96000000000001</v>
      </c>
      <c r="M92" s="230">
        <f t="shared" si="34"/>
        <v>23.065722979322224</v>
      </c>
      <c r="N92" s="231"/>
      <c r="O92" s="232">
        <f t="shared" si="35"/>
      </c>
      <c r="P92" s="232">
        <f t="shared" si="36"/>
      </c>
      <c r="Q92" s="232">
        <f t="shared" si="37"/>
      </c>
      <c r="R92" s="232">
        <f t="shared" si="38"/>
      </c>
      <c r="S92" s="232">
        <f t="shared" si="39"/>
      </c>
      <c r="T92" s="232">
        <f t="shared" si="40"/>
      </c>
      <c r="U92" s="240">
        <f t="shared" si="57"/>
      </c>
      <c r="V92" s="241">
        <f t="shared" si="58"/>
      </c>
      <c r="W92" s="235">
        <f t="shared" si="43"/>
      </c>
      <c r="X92" s="236">
        <f t="shared" si="44"/>
      </c>
      <c r="Y92" s="235">
        <f t="shared" si="59"/>
      </c>
      <c r="Z92" s="236">
        <f t="shared" si="60"/>
      </c>
      <c r="AA92" s="236">
        <f t="shared" si="47"/>
      </c>
      <c r="AB92" s="236">
        <f t="shared" si="48"/>
      </c>
      <c r="AC92" s="236">
        <f t="shared" si="49"/>
      </c>
      <c r="AD92" s="236">
        <f t="shared" si="50"/>
      </c>
      <c r="AE92" s="236">
        <f t="shared" si="51"/>
      </c>
      <c r="AF92" s="236">
        <f t="shared" si="52"/>
      </c>
      <c r="AG92" s="236">
        <f t="shared" si="53"/>
      </c>
      <c r="AH92" s="235">
        <f t="shared" si="54"/>
      </c>
      <c r="AI92" s="237">
        <f t="shared" si="55"/>
      </c>
      <c r="AJ92" s="237">
        <f t="shared" si="56"/>
      </c>
      <c r="AK92" s="218">
        <f t="shared" si="61"/>
      </c>
      <c r="AL92" s="218">
        <f t="shared" si="62"/>
      </c>
      <c r="AM92" s="154"/>
      <c r="AN92" s="154"/>
      <c r="AO92" s="154"/>
      <c r="AP92" s="154"/>
      <c r="AQ92" s="154"/>
      <c r="AR92" s="154"/>
      <c r="AS92" s="154"/>
      <c r="AT92" s="154"/>
    </row>
    <row r="93" spans="1:46" ht="15" customHeight="1">
      <c r="A93" s="482"/>
      <c r="B93" s="222"/>
      <c r="C93" s="222"/>
      <c r="D93" s="222"/>
      <c r="E93" s="226">
        <f t="shared" si="33"/>
        <v>87</v>
      </c>
      <c r="F93" s="227">
        <f t="shared" si="31"/>
        <v>46.97624190064795</v>
      </c>
      <c r="G93" s="484"/>
      <c r="H93" s="228"/>
      <c r="I93" s="228"/>
      <c r="J93" s="228"/>
      <c r="K93" s="485"/>
      <c r="L93" s="229">
        <f t="shared" si="32"/>
        <v>75.69</v>
      </c>
      <c r="M93" s="230">
        <f t="shared" si="34"/>
        <v>23.605253816994306</v>
      </c>
      <c r="N93" s="231"/>
      <c r="O93" s="232">
        <f t="shared" si="35"/>
      </c>
      <c r="P93" s="232">
        <f t="shared" si="36"/>
      </c>
      <c r="Q93" s="232">
        <f t="shared" si="37"/>
      </c>
      <c r="R93" s="232">
        <f t="shared" si="38"/>
      </c>
      <c r="S93" s="232">
        <f t="shared" si="39"/>
      </c>
      <c r="T93" s="232">
        <f t="shared" si="40"/>
      </c>
      <c r="U93" s="240">
        <f aca="true" t="shared" si="63" ref="U93:U107">IF((M93*3.55*$U$6*COS(RADIANS($AN$6)))&lt;$W$2,"OK","")</f>
      </c>
      <c r="V93" s="241">
        <f aca="true" t="shared" si="64" ref="V93:V107">IF((M93*3.55*$U$6*COS(RADIANS($AN$6)))&lt;$W$2,M93*4*$U$6*SIN(RADIANS($AM$6)),"")</f>
      </c>
      <c r="W93" s="235">
        <f t="shared" si="43"/>
      </c>
      <c r="X93" s="236">
        <f t="shared" si="44"/>
      </c>
      <c r="Y93" s="235">
        <f t="shared" si="59"/>
      </c>
      <c r="Z93" s="236">
        <f t="shared" si="60"/>
      </c>
      <c r="AA93" s="236">
        <f t="shared" si="47"/>
      </c>
      <c r="AB93" s="236">
        <f t="shared" si="48"/>
      </c>
      <c r="AC93" s="236">
        <f t="shared" si="49"/>
      </c>
      <c r="AD93" s="236">
        <f t="shared" si="50"/>
      </c>
      <c r="AE93" s="236">
        <f t="shared" si="51"/>
      </c>
      <c r="AF93" s="236">
        <f t="shared" si="52"/>
      </c>
      <c r="AG93" s="236">
        <f t="shared" si="53"/>
      </c>
      <c r="AH93" s="235">
        <f t="shared" si="54"/>
      </c>
      <c r="AI93" s="237">
        <f t="shared" si="55"/>
      </c>
      <c r="AJ93" s="237">
        <f t="shared" si="56"/>
      </c>
      <c r="AK93" s="218">
        <f t="shared" si="61"/>
      </c>
      <c r="AL93" s="218">
        <f t="shared" si="62"/>
      </c>
      <c r="AM93" s="154"/>
      <c r="AN93" s="154"/>
      <c r="AO93" s="154"/>
      <c r="AP93" s="154"/>
      <c r="AQ93" s="154"/>
      <c r="AR93" s="154"/>
      <c r="AS93" s="154"/>
      <c r="AT93" s="154"/>
    </row>
    <row r="94" spans="1:46" ht="15" customHeight="1">
      <c r="A94" s="482"/>
      <c r="B94" s="222"/>
      <c r="C94" s="222"/>
      <c r="D94" s="222"/>
      <c r="E94" s="226">
        <f t="shared" si="33"/>
        <v>88</v>
      </c>
      <c r="F94" s="227">
        <f t="shared" si="31"/>
        <v>47.51619870410367</v>
      </c>
      <c r="G94" s="484"/>
      <c r="H94" s="228"/>
      <c r="I94" s="228"/>
      <c r="J94" s="228"/>
      <c r="K94" s="485"/>
      <c r="L94" s="229">
        <f t="shared" si="32"/>
        <v>77.44</v>
      </c>
      <c r="M94" s="230">
        <f t="shared" si="34"/>
        <v>24.151022005390924</v>
      </c>
      <c r="N94" s="231"/>
      <c r="O94" s="232">
        <f t="shared" si="35"/>
      </c>
      <c r="P94" s="232">
        <f t="shared" si="36"/>
      </c>
      <c r="Q94" s="232">
        <f t="shared" si="37"/>
      </c>
      <c r="R94" s="232">
        <f t="shared" si="38"/>
      </c>
      <c r="S94" s="232">
        <f t="shared" si="39"/>
      </c>
      <c r="T94" s="232">
        <f t="shared" si="40"/>
      </c>
      <c r="U94" s="240">
        <f t="shared" si="63"/>
      </c>
      <c r="V94" s="241">
        <f t="shared" si="64"/>
      </c>
      <c r="W94" s="235">
        <f t="shared" si="43"/>
      </c>
      <c r="X94" s="236">
        <f t="shared" si="44"/>
      </c>
      <c r="Y94" s="235">
        <f t="shared" si="59"/>
      </c>
      <c r="Z94" s="236">
        <f t="shared" si="60"/>
      </c>
      <c r="AA94" s="236">
        <f t="shared" si="47"/>
      </c>
      <c r="AB94" s="236">
        <f t="shared" si="48"/>
      </c>
      <c r="AC94" s="236">
        <f t="shared" si="49"/>
      </c>
      <c r="AD94" s="236">
        <f t="shared" si="50"/>
      </c>
      <c r="AE94" s="236">
        <f t="shared" si="51"/>
      </c>
      <c r="AF94" s="236">
        <f t="shared" si="52"/>
      </c>
      <c r="AG94" s="236">
        <f t="shared" si="53"/>
      </c>
      <c r="AH94" s="235">
        <f t="shared" si="54"/>
      </c>
      <c r="AI94" s="237">
        <f t="shared" si="55"/>
      </c>
      <c r="AJ94" s="237">
        <f t="shared" si="56"/>
      </c>
      <c r="AK94" s="218">
        <f t="shared" si="61"/>
      </c>
      <c r="AL94" s="218">
        <f t="shared" si="62"/>
      </c>
      <c r="AM94" s="154"/>
      <c r="AN94" s="154"/>
      <c r="AO94" s="154"/>
      <c r="AP94" s="154"/>
      <c r="AQ94" s="154"/>
      <c r="AR94" s="154"/>
      <c r="AS94" s="154"/>
      <c r="AT94" s="154"/>
    </row>
    <row r="95" spans="1:46" ht="12" customHeight="1">
      <c r="A95" s="482">
        <v>10</v>
      </c>
      <c r="B95" s="222"/>
      <c r="C95" s="222"/>
      <c r="D95" s="222"/>
      <c r="E95" s="226">
        <f t="shared" si="33"/>
        <v>89</v>
      </c>
      <c r="F95" s="227">
        <f t="shared" si="31"/>
        <v>48.056155507559396</v>
      </c>
      <c r="G95" s="484" t="s">
        <v>46</v>
      </c>
      <c r="H95" s="228"/>
      <c r="I95" s="228"/>
      <c r="J95" s="228"/>
      <c r="K95" s="485"/>
      <c r="L95" s="229">
        <f t="shared" si="32"/>
        <v>79.21000000000001</v>
      </c>
      <c r="M95" s="230">
        <f t="shared" si="34"/>
        <v>24.70302754451208</v>
      </c>
      <c r="N95" s="231"/>
      <c r="O95" s="232">
        <f t="shared" si="35"/>
      </c>
      <c r="P95" s="232">
        <f t="shared" si="36"/>
      </c>
      <c r="Q95" s="232">
        <f t="shared" si="37"/>
      </c>
      <c r="R95" s="232">
        <f t="shared" si="38"/>
      </c>
      <c r="S95" s="232">
        <f t="shared" si="39"/>
      </c>
      <c r="T95" s="232">
        <f t="shared" si="40"/>
      </c>
      <c r="U95" s="240">
        <f t="shared" si="63"/>
      </c>
      <c r="V95" s="241">
        <f t="shared" si="64"/>
      </c>
      <c r="W95" s="235">
        <f t="shared" si="43"/>
      </c>
      <c r="X95" s="236">
        <f t="shared" si="44"/>
      </c>
      <c r="Y95" s="235">
        <f t="shared" si="59"/>
      </c>
      <c r="Z95" s="236">
        <f t="shared" si="60"/>
      </c>
      <c r="AA95" s="236">
        <f t="shared" si="47"/>
      </c>
      <c r="AB95" s="236">
        <f t="shared" si="48"/>
      </c>
      <c r="AC95" s="236">
        <f t="shared" si="49"/>
      </c>
      <c r="AD95" s="236">
        <f t="shared" si="50"/>
      </c>
      <c r="AE95" s="236">
        <f t="shared" si="51"/>
      </c>
      <c r="AF95" s="236">
        <f t="shared" si="52"/>
      </c>
      <c r="AG95" s="236">
        <f t="shared" si="53"/>
      </c>
      <c r="AH95" s="235">
        <f t="shared" si="54"/>
      </c>
      <c r="AI95" s="237">
        <f t="shared" si="55"/>
      </c>
      <c r="AJ95" s="237">
        <f t="shared" si="56"/>
      </c>
      <c r="AK95" s="218">
        <f t="shared" si="61"/>
      </c>
      <c r="AL95" s="218">
        <f t="shared" si="62"/>
      </c>
      <c r="AM95" s="154"/>
      <c r="AN95" s="154"/>
      <c r="AO95" s="154"/>
      <c r="AP95" s="154"/>
      <c r="AQ95" s="154"/>
      <c r="AR95" s="154"/>
      <c r="AS95" s="154"/>
      <c r="AT95" s="154"/>
    </row>
    <row r="96" spans="1:46" ht="12" customHeight="1">
      <c r="A96" s="482"/>
      <c r="B96" s="222"/>
      <c r="C96" s="222"/>
      <c r="D96" s="222"/>
      <c r="E96" s="226">
        <f t="shared" si="33"/>
        <v>90</v>
      </c>
      <c r="F96" s="227">
        <f t="shared" si="31"/>
        <v>48.59611231101512</v>
      </c>
      <c r="G96" s="484"/>
      <c r="H96" s="228"/>
      <c r="I96" s="228"/>
      <c r="J96" s="228"/>
      <c r="K96" s="485"/>
      <c r="L96" s="229">
        <f t="shared" si="32"/>
        <v>81</v>
      </c>
      <c r="M96" s="230">
        <f t="shared" si="34"/>
        <v>25.261270434357762</v>
      </c>
      <c r="N96" s="231"/>
      <c r="O96" s="232">
        <f t="shared" si="35"/>
      </c>
      <c r="P96" s="232">
        <f t="shared" si="36"/>
      </c>
      <c r="Q96" s="232">
        <f t="shared" si="37"/>
      </c>
      <c r="R96" s="232">
        <f t="shared" si="38"/>
      </c>
      <c r="S96" s="232">
        <f t="shared" si="39"/>
      </c>
      <c r="T96" s="232">
        <f t="shared" si="40"/>
      </c>
      <c r="U96" s="240">
        <f t="shared" si="63"/>
      </c>
      <c r="V96" s="241">
        <f t="shared" si="64"/>
      </c>
      <c r="W96" s="235">
        <f t="shared" si="43"/>
      </c>
      <c r="X96" s="236">
        <f t="shared" si="44"/>
      </c>
      <c r="Y96" s="235">
        <f t="shared" si="59"/>
      </c>
      <c r="Z96" s="236">
        <f t="shared" si="60"/>
      </c>
      <c r="AA96" s="236">
        <f t="shared" si="47"/>
      </c>
      <c r="AB96" s="236">
        <f t="shared" si="48"/>
      </c>
      <c r="AC96" s="236">
        <f t="shared" si="49"/>
      </c>
      <c r="AD96" s="236">
        <f t="shared" si="50"/>
      </c>
      <c r="AE96" s="236">
        <f t="shared" si="51"/>
      </c>
      <c r="AF96" s="236">
        <f t="shared" si="52"/>
      </c>
      <c r="AG96" s="236">
        <f t="shared" si="53"/>
      </c>
      <c r="AH96" s="235">
        <f t="shared" si="54"/>
      </c>
      <c r="AI96" s="237">
        <f t="shared" si="55"/>
      </c>
      <c r="AJ96" s="237">
        <f t="shared" si="56"/>
      </c>
      <c r="AK96" s="218">
        <f t="shared" si="61"/>
      </c>
      <c r="AL96" s="218">
        <f t="shared" si="62"/>
      </c>
      <c r="AM96" s="154"/>
      <c r="AN96" s="154"/>
      <c r="AO96" s="154"/>
      <c r="AP96" s="154"/>
      <c r="AQ96" s="154"/>
      <c r="AR96" s="154"/>
      <c r="AS96" s="154"/>
      <c r="AT96" s="154"/>
    </row>
    <row r="97" spans="1:46" ht="12" customHeight="1">
      <c r="A97" s="482"/>
      <c r="B97" s="222"/>
      <c r="C97" s="222"/>
      <c r="D97" s="222"/>
      <c r="E97" s="226">
        <f t="shared" si="33"/>
        <v>91</v>
      </c>
      <c r="F97" s="227">
        <f t="shared" si="31"/>
        <v>49.13606911447084</v>
      </c>
      <c r="G97" s="484"/>
      <c r="H97" s="228"/>
      <c r="I97" s="228"/>
      <c r="J97" s="228"/>
      <c r="K97" s="485"/>
      <c r="L97" s="229">
        <f t="shared" si="32"/>
        <v>82.80999999999999</v>
      </c>
      <c r="M97" s="230">
        <f t="shared" si="34"/>
        <v>25.82575067492797</v>
      </c>
      <c r="N97" s="231"/>
      <c r="O97" s="232">
        <f t="shared" si="35"/>
      </c>
      <c r="P97" s="232">
        <f t="shared" si="36"/>
      </c>
      <c r="Q97" s="232">
        <f t="shared" si="37"/>
      </c>
      <c r="R97" s="232">
        <f t="shared" si="38"/>
      </c>
      <c r="S97" s="232">
        <f t="shared" si="39"/>
      </c>
      <c r="T97" s="232">
        <f t="shared" si="40"/>
      </c>
      <c r="U97" s="240">
        <f t="shared" si="63"/>
      </c>
      <c r="V97" s="241">
        <f t="shared" si="64"/>
      </c>
      <c r="W97" s="235">
        <f t="shared" si="43"/>
      </c>
      <c r="X97" s="236">
        <f t="shared" si="44"/>
      </c>
      <c r="Y97" s="235">
        <f t="shared" si="59"/>
      </c>
      <c r="Z97" s="236">
        <f t="shared" si="60"/>
      </c>
      <c r="AA97" s="236">
        <f t="shared" si="47"/>
      </c>
      <c r="AB97" s="236">
        <f t="shared" si="48"/>
      </c>
      <c r="AC97" s="236">
        <f t="shared" si="49"/>
      </c>
      <c r="AD97" s="236">
        <f t="shared" si="50"/>
      </c>
      <c r="AE97" s="236">
        <f t="shared" si="51"/>
      </c>
      <c r="AF97" s="236">
        <f t="shared" si="52"/>
      </c>
      <c r="AG97" s="236">
        <f t="shared" si="53"/>
      </c>
      <c r="AH97" s="235">
        <f t="shared" si="54"/>
      </c>
      <c r="AI97" s="237">
        <f t="shared" si="55"/>
      </c>
      <c r="AJ97" s="237">
        <f t="shared" si="56"/>
      </c>
      <c r="AK97" s="218">
        <f t="shared" si="61"/>
      </c>
      <c r="AL97" s="218">
        <f t="shared" si="62"/>
      </c>
      <c r="AM97" s="154"/>
      <c r="AN97" s="154"/>
      <c r="AO97" s="154"/>
      <c r="AP97" s="154"/>
      <c r="AQ97" s="154"/>
      <c r="AR97" s="154"/>
      <c r="AS97" s="154"/>
      <c r="AT97" s="154"/>
    </row>
    <row r="98" spans="1:46" ht="12" customHeight="1">
      <c r="A98" s="482"/>
      <c r="B98" s="222"/>
      <c r="C98" s="222"/>
      <c r="D98" s="222"/>
      <c r="E98" s="226">
        <f t="shared" si="33"/>
        <v>92</v>
      </c>
      <c r="F98" s="227">
        <f t="shared" si="31"/>
        <v>49.676025917926566</v>
      </c>
      <c r="G98" s="484"/>
      <c r="H98" s="228"/>
      <c r="I98" s="228"/>
      <c r="J98" s="228"/>
      <c r="K98" s="485"/>
      <c r="L98" s="229">
        <f t="shared" si="32"/>
        <v>84.64</v>
      </c>
      <c r="M98" s="230">
        <f t="shared" si="34"/>
        <v>26.396468266222726</v>
      </c>
      <c r="N98" s="231"/>
      <c r="O98" s="232">
        <f t="shared" si="35"/>
      </c>
      <c r="P98" s="232">
        <f t="shared" si="36"/>
      </c>
      <c r="Q98" s="232">
        <f t="shared" si="37"/>
      </c>
      <c r="R98" s="232">
        <f t="shared" si="38"/>
      </c>
      <c r="S98" s="232">
        <f t="shared" si="39"/>
      </c>
      <c r="T98" s="232">
        <f t="shared" si="40"/>
      </c>
      <c r="U98" s="240">
        <f t="shared" si="63"/>
      </c>
      <c r="V98" s="241">
        <f t="shared" si="64"/>
      </c>
      <c r="W98" s="235">
        <f t="shared" si="43"/>
      </c>
      <c r="X98" s="236">
        <f t="shared" si="44"/>
      </c>
      <c r="Y98" s="235">
        <f t="shared" si="59"/>
      </c>
      <c r="Z98" s="236">
        <f t="shared" si="60"/>
      </c>
      <c r="AA98" s="236">
        <f t="shared" si="47"/>
      </c>
      <c r="AB98" s="236">
        <f t="shared" si="48"/>
      </c>
      <c r="AC98" s="236">
        <f t="shared" si="49"/>
      </c>
      <c r="AD98" s="236">
        <f t="shared" si="50"/>
      </c>
      <c r="AE98" s="236">
        <f t="shared" si="51"/>
      </c>
      <c r="AF98" s="236">
        <f t="shared" si="52"/>
      </c>
      <c r="AG98" s="236">
        <f t="shared" si="53"/>
      </c>
      <c r="AH98" s="235">
        <f t="shared" si="54"/>
      </c>
      <c r="AI98" s="237">
        <f t="shared" si="55"/>
      </c>
      <c r="AJ98" s="237">
        <f t="shared" si="56"/>
      </c>
      <c r="AK98" s="218">
        <f t="shared" si="61"/>
      </c>
      <c r="AL98" s="218">
        <f t="shared" si="62"/>
      </c>
      <c r="AM98" s="154"/>
      <c r="AN98" s="154"/>
      <c r="AO98" s="154"/>
      <c r="AP98" s="154"/>
      <c r="AQ98" s="154"/>
      <c r="AR98" s="154"/>
      <c r="AS98" s="154"/>
      <c r="AT98" s="154"/>
    </row>
    <row r="99" spans="1:46" ht="12" customHeight="1">
      <c r="A99" s="482"/>
      <c r="B99" s="222"/>
      <c r="C99" s="222"/>
      <c r="D99" s="222"/>
      <c r="E99" s="226">
        <f t="shared" si="33"/>
        <v>93</v>
      </c>
      <c r="F99" s="227">
        <f t="shared" si="31"/>
        <v>50.21598272138229</v>
      </c>
      <c r="G99" s="484"/>
      <c r="H99" s="228"/>
      <c r="I99" s="228"/>
      <c r="J99" s="228"/>
      <c r="K99" s="485"/>
      <c r="L99" s="229">
        <f t="shared" si="32"/>
        <v>86.49</v>
      </c>
      <c r="M99" s="230">
        <f t="shared" si="34"/>
        <v>26.973423208242004</v>
      </c>
      <c r="N99" s="231"/>
      <c r="O99" s="232">
        <f t="shared" si="35"/>
      </c>
      <c r="P99" s="232">
        <f t="shared" si="36"/>
      </c>
      <c r="Q99" s="232">
        <f t="shared" si="37"/>
      </c>
      <c r="R99" s="232">
        <f t="shared" si="38"/>
      </c>
      <c r="S99" s="232">
        <f t="shared" si="39"/>
      </c>
      <c r="T99" s="232">
        <f t="shared" si="40"/>
      </c>
      <c r="U99" s="240">
        <f t="shared" si="63"/>
      </c>
      <c r="V99" s="241">
        <f t="shared" si="64"/>
      </c>
      <c r="W99" s="235">
        <f t="shared" si="43"/>
      </c>
      <c r="X99" s="236">
        <f t="shared" si="44"/>
      </c>
      <c r="Y99" s="235">
        <f t="shared" si="59"/>
      </c>
      <c r="Z99" s="236">
        <f t="shared" si="60"/>
      </c>
      <c r="AA99" s="236">
        <f t="shared" si="47"/>
      </c>
      <c r="AB99" s="236">
        <f t="shared" si="48"/>
      </c>
      <c r="AC99" s="236">
        <f t="shared" si="49"/>
      </c>
      <c r="AD99" s="236">
        <f t="shared" si="50"/>
      </c>
      <c r="AE99" s="236">
        <f t="shared" si="51"/>
      </c>
      <c r="AF99" s="236">
        <f t="shared" si="52"/>
      </c>
      <c r="AG99" s="236">
        <f t="shared" si="53"/>
      </c>
      <c r="AH99" s="235">
        <f t="shared" si="54"/>
      </c>
      <c r="AI99" s="237">
        <f t="shared" si="55"/>
      </c>
      <c r="AJ99" s="237">
        <f t="shared" si="56"/>
      </c>
      <c r="AK99" s="218">
        <f t="shared" si="61"/>
      </c>
      <c r="AL99" s="218">
        <f t="shared" si="62"/>
      </c>
      <c r="AM99" s="154"/>
      <c r="AN99" s="154"/>
      <c r="AO99" s="154"/>
      <c r="AP99" s="154"/>
      <c r="AQ99" s="154"/>
      <c r="AR99" s="154"/>
      <c r="AS99" s="154"/>
      <c r="AT99" s="154"/>
    </row>
    <row r="100" spans="1:46" ht="12" customHeight="1">
      <c r="A100" s="482"/>
      <c r="B100" s="222"/>
      <c r="C100" s="222"/>
      <c r="D100" s="222"/>
      <c r="E100" s="226">
        <f t="shared" si="33"/>
        <v>94</v>
      </c>
      <c r="F100" s="227">
        <f t="shared" si="31"/>
        <v>50.75593952483801</v>
      </c>
      <c r="G100" s="484"/>
      <c r="H100" s="228"/>
      <c r="I100" s="228"/>
      <c r="J100" s="228"/>
      <c r="K100" s="485"/>
      <c r="L100" s="229">
        <f t="shared" si="32"/>
        <v>88.36</v>
      </c>
      <c r="M100" s="230">
        <f t="shared" si="34"/>
        <v>27.55661550098582</v>
      </c>
      <c r="N100" s="231"/>
      <c r="O100" s="232">
        <f t="shared" si="35"/>
      </c>
      <c r="P100" s="232">
        <f t="shared" si="36"/>
      </c>
      <c r="Q100" s="232">
        <f t="shared" si="37"/>
      </c>
      <c r="R100" s="232">
        <f t="shared" si="38"/>
      </c>
      <c r="S100" s="232">
        <f t="shared" si="39"/>
      </c>
      <c r="T100" s="232">
        <f t="shared" si="40"/>
      </c>
      <c r="U100" s="240">
        <f t="shared" si="63"/>
      </c>
      <c r="V100" s="241">
        <f t="shared" si="64"/>
      </c>
      <c r="W100" s="235">
        <f t="shared" si="43"/>
      </c>
      <c r="X100" s="236">
        <f t="shared" si="44"/>
      </c>
      <c r="Y100" s="235">
        <f t="shared" si="59"/>
      </c>
      <c r="Z100" s="236">
        <f t="shared" si="60"/>
      </c>
      <c r="AA100" s="236">
        <f t="shared" si="47"/>
      </c>
      <c r="AB100" s="236">
        <f t="shared" si="48"/>
      </c>
      <c r="AC100" s="236">
        <f t="shared" si="49"/>
      </c>
      <c r="AD100" s="236">
        <f t="shared" si="50"/>
      </c>
      <c r="AE100" s="236">
        <f t="shared" si="51"/>
      </c>
      <c r="AF100" s="236">
        <f t="shared" si="52"/>
      </c>
      <c r="AG100" s="236">
        <f t="shared" si="53"/>
      </c>
      <c r="AH100" s="235">
        <f t="shared" si="54"/>
      </c>
      <c r="AI100" s="237">
        <f t="shared" si="55"/>
      </c>
      <c r="AJ100" s="237">
        <f t="shared" si="56"/>
      </c>
      <c r="AK100" s="218">
        <f t="shared" si="61"/>
      </c>
      <c r="AL100" s="218">
        <f t="shared" si="62"/>
      </c>
      <c r="AM100" s="154"/>
      <c r="AN100" s="154"/>
      <c r="AO100" s="154"/>
      <c r="AP100" s="154"/>
      <c r="AQ100" s="154"/>
      <c r="AR100" s="154"/>
      <c r="AS100" s="154"/>
      <c r="AT100" s="154"/>
    </row>
    <row r="101" spans="1:46" ht="12" customHeight="1">
      <c r="A101" s="482"/>
      <c r="B101" s="222"/>
      <c r="C101" s="222"/>
      <c r="D101" s="222"/>
      <c r="E101" s="226">
        <f t="shared" si="33"/>
        <v>95</v>
      </c>
      <c r="F101" s="227">
        <f t="shared" si="31"/>
        <v>51.295896328293736</v>
      </c>
      <c r="G101" s="484"/>
      <c r="H101" s="228"/>
      <c r="I101" s="228"/>
      <c r="J101" s="228"/>
      <c r="K101" s="485"/>
      <c r="L101" s="229">
        <f t="shared" si="32"/>
        <v>90.25</v>
      </c>
      <c r="M101" s="230">
        <f t="shared" si="34"/>
        <v>28.14604514445417</v>
      </c>
      <c r="N101" s="231"/>
      <c r="O101" s="232">
        <f t="shared" si="35"/>
      </c>
      <c r="P101" s="232">
        <f t="shared" si="36"/>
      </c>
      <c r="Q101" s="232">
        <f t="shared" si="37"/>
      </c>
      <c r="R101" s="232">
        <f t="shared" si="38"/>
      </c>
      <c r="S101" s="232">
        <f t="shared" si="39"/>
      </c>
      <c r="T101" s="232">
        <f t="shared" si="40"/>
      </c>
      <c r="U101" s="240">
        <f t="shared" si="63"/>
      </c>
      <c r="V101" s="241">
        <f t="shared" si="64"/>
      </c>
      <c r="W101" s="235">
        <f t="shared" si="43"/>
      </c>
      <c r="X101" s="236">
        <f t="shared" si="44"/>
      </c>
      <c r="Y101" s="235">
        <f t="shared" si="59"/>
      </c>
      <c r="Z101" s="236">
        <f t="shared" si="60"/>
      </c>
      <c r="AA101" s="236">
        <f t="shared" si="47"/>
      </c>
      <c r="AB101" s="236">
        <f t="shared" si="48"/>
      </c>
      <c r="AC101" s="236">
        <f t="shared" si="49"/>
      </c>
      <c r="AD101" s="236">
        <f t="shared" si="50"/>
      </c>
      <c r="AE101" s="236">
        <f t="shared" si="51"/>
      </c>
      <c r="AF101" s="236">
        <f t="shared" si="52"/>
      </c>
      <c r="AG101" s="236">
        <f t="shared" si="53"/>
      </c>
      <c r="AH101" s="235">
        <f t="shared" si="54"/>
      </c>
      <c r="AI101" s="237">
        <f t="shared" si="55"/>
      </c>
      <c r="AJ101" s="237">
        <f t="shared" si="56"/>
      </c>
      <c r="AK101" s="218">
        <f t="shared" si="61"/>
      </c>
      <c r="AL101" s="218">
        <f t="shared" si="62"/>
      </c>
      <c r="AM101" s="154"/>
      <c r="AN101" s="154"/>
      <c r="AO101" s="154"/>
      <c r="AP101" s="154"/>
      <c r="AQ101" s="154"/>
      <c r="AR101" s="154"/>
      <c r="AS101" s="154"/>
      <c r="AT101" s="154"/>
    </row>
    <row r="102" spans="1:46" ht="12" customHeight="1">
      <c r="A102" s="482"/>
      <c r="B102" s="222"/>
      <c r="C102" s="222"/>
      <c r="D102" s="222"/>
      <c r="E102" s="226">
        <f t="shared" si="33"/>
        <v>96</v>
      </c>
      <c r="F102" s="227">
        <f t="shared" si="31"/>
        <v>51.83585313174946</v>
      </c>
      <c r="G102" s="484"/>
      <c r="H102" s="228"/>
      <c r="I102" s="228"/>
      <c r="J102" s="228"/>
      <c r="K102" s="485"/>
      <c r="L102" s="229">
        <f t="shared" si="32"/>
        <v>92.16</v>
      </c>
      <c r="M102" s="230">
        <f t="shared" si="34"/>
        <v>28.741712138647053</v>
      </c>
      <c r="N102" s="231"/>
      <c r="O102" s="232">
        <f t="shared" si="35"/>
      </c>
      <c r="P102" s="232">
        <f t="shared" si="36"/>
      </c>
      <c r="Q102" s="232">
        <f t="shared" si="37"/>
      </c>
      <c r="R102" s="232">
        <f t="shared" si="38"/>
      </c>
      <c r="S102" s="232">
        <f t="shared" si="39"/>
      </c>
      <c r="T102" s="232">
        <f t="shared" si="40"/>
      </c>
      <c r="U102" s="240">
        <f t="shared" si="63"/>
      </c>
      <c r="V102" s="241">
        <f t="shared" si="64"/>
      </c>
      <c r="W102" s="235">
        <f t="shared" si="43"/>
      </c>
      <c r="X102" s="236">
        <f t="shared" si="44"/>
      </c>
      <c r="Y102" s="235">
        <f t="shared" si="59"/>
      </c>
      <c r="Z102" s="236">
        <f t="shared" si="60"/>
      </c>
      <c r="AA102" s="236">
        <f t="shared" si="47"/>
      </c>
      <c r="AB102" s="236">
        <f t="shared" si="48"/>
      </c>
      <c r="AC102" s="236">
        <f t="shared" si="49"/>
      </c>
      <c r="AD102" s="236">
        <f t="shared" si="50"/>
      </c>
      <c r="AE102" s="236">
        <f t="shared" si="51"/>
      </c>
      <c r="AF102" s="236">
        <f t="shared" si="52"/>
      </c>
      <c r="AG102" s="236">
        <f t="shared" si="53"/>
      </c>
      <c r="AH102" s="235">
        <f t="shared" si="54"/>
      </c>
      <c r="AI102" s="237">
        <f t="shared" si="55"/>
      </c>
      <c r="AJ102" s="237">
        <f t="shared" si="56"/>
      </c>
      <c r="AK102" s="218">
        <f t="shared" si="61"/>
      </c>
      <c r="AL102" s="218">
        <f t="shared" si="62"/>
      </c>
      <c r="AM102" s="154"/>
      <c r="AN102" s="154"/>
      <c r="AO102" s="154"/>
      <c r="AP102" s="154"/>
      <c r="AQ102" s="154"/>
      <c r="AR102" s="154"/>
      <c r="AS102" s="154"/>
      <c r="AT102" s="154"/>
    </row>
    <row r="103" spans="1:46" ht="12" customHeight="1">
      <c r="A103" s="482"/>
      <c r="B103" s="222"/>
      <c r="C103" s="222"/>
      <c r="D103" s="222"/>
      <c r="E103" s="226">
        <f t="shared" si="33"/>
        <v>97</v>
      </c>
      <c r="F103" s="227">
        <f t="shared" si="31"/>
        <v>52.37580993520518</v>
      </c>
      <c r="G103" s="484"/>
      <c r="H103" s="228"/>
      <c r="I103" s="228"/>
      <c r="J103" s="228"/>
      <c r="K103" s="485"/>
      <c r="L103" s="229">
        <f t="shared" si="32"/>
        <v>94.08999999999999</v>
      </c>
      <c r="M103" s="230">
        <f t="shared" si="34"/>
        <v>29.343616483564464</v>
      </c>
      <c r="N103" s="231"/>
      <c r="O103" s="232">
        <f t="shared" si="35"/>
      </c>
      <c r="P103" s="232">
        <f t="shared" si="36"/>
      </c>
      <c r="Q103" s="232">
        <f t="shared" si="37"/>
      </c>
      <c r="R103" s="232">
        <f t="shared" si="38"/>
      </c>
      <c r="S103" s="232">
        <f t="shared" si="39"/>
      </c>
      <c r="T103" s="232">
        <f t="shared" si="40"/>
      </c>
      <c r="U103" s="240">
        <f t="shared" si="63"/>
      </c>
      <c r="V103" s="241">
        <f t="shared" si="64"/>
      </c>
      <c r="W103" s="235">
        <f t="shared" si="43"/>
      </c>
      <c r="X103" s="236">
        <f t="shared" si="44"/>
      </c>
      <c r="Y103" s="235">
        <f t="shared" si="59"/>
      </c>
      <c r="Z103" s="236">
        <f t="shared" si="60"/>
      </c>
      <c r="AA103" s="236">
        <f t="shared" si="47"/>
      </c>
      <c r="AB103" s="236">
        <f t="shared" si="48"/>
      </c>
      <c r="AC103" s="236">
        <f t="shared" si="49"/>
      </c>
      <c r="AD103" s="236">
        <f t="shared" si="50"/>
      </c>
      <c r="AE103" s="236">
        <f t="shared" si="51"/>
      </c>
      <c r="AF103" s="236">
        <f t="shared" si="52"/>
      </c>
      <c r="AG103" s="236">
        <f t="shared" si="53"/>
      </c>
      <c r="AH103" s="235">
        <f t="shared" si="54"/>
      </c>
      <c r="AI103" s="237">
        <f t="shared" si="55"/>
      </c>
      <c r="AJ103" s="237">
        <f t="shared" si="56"/>
      </c>
      <c r="AK103" s="218">
        <f t="shared" si="61"/>
      </c>
      <c r="AL103" s="218">
        <f t="shared" si="62"/>
      </c>
      <c r="AM103" s="154"/>
      <c r="AN103" s="154"/>
      <c r="AO103" s="154"/>
      <c r="AP103" s="154"/>
      <c r="AQ103" s="154"/>
      <c r="AR103" s="154"/>
      <c r="AS103" s="154"/>
      <c r="AT103" s="154"/>
    </row>
    <row r="104" spans="1:46" ht="12" customHeight="1">
      <c r="A104" s="482"/>
      <c r="B104" s="222"/>
      <c r="C104" s="222"/>
      <c r="D104" s="222"/>
      <c r="E104" s="226">
        <f t="shared" si="33"/>
        <v>98</v>
      </c>
      <c r="F104" s="227">
        <f t="shared" si="31"/>
        <v>52.915766738660906</v>
      </c>
      <c r="G104" s="484"/>
      <c r="H104" s="228"/>
      <c r="I104" s="228"/>
      <c r="J104" s="228"/>
      <c r="K104" s="485"/>
      <c r="L104" s="229">
        <f t="shared" si="32"/>
        <v>96.04</v>
      </c>
      <c r="M104" s="230">
        <f t="shared" si="34"/>
        <v>29.95175817920641</v>
      </c>
      <c r="N104" s="231"/>
      <c r="O104" s="232">
        <f t="shared" si="35"/>
      </c>
      <c r="P104" s="232">
        <f t="shared" si="36"/>
      </c>
      <c r="Q104" s="232">
        <f t="shared" si="37"/>
      </c>
      <c r="R104" s="232">
        <f t="shared" si="38"/>
      </c>
      <c r="S104" s="232">
        <f t="shared" si="39"/>
      </c>
      <c r="T104" s="232">
        <f t="shared" si="40"/>
      </c>
      <c r="U104" s="240">
        <f t="shared" si="63"/>
      </c>
      <c r="V104" s="241">
        <f t="shared" si="64"/>
      </c>
      <c r="W104" s="235">
        <f t="shared" si="43"/>
      </c>
      <c r="X104" s="236">
        <f t="shared" si="44"/>
      </c>
      <c r="Y104" s="235">
        <f t="shared" si="59"/>
      </c>
      <c r="Z104" s="236">
        <f t="shared" si="60"/>
      </c>
      <c r="AA104" s="236">
        <f t="shared" si="47"/>
      </c>
      <c r="AB104" s="236">
        <f t="shared" si="48"/>
      </c>
      <c r="AC104" s="236">
        <f t="shared" si="49"/>
      </c>
      <c r="AD104" s="236">
        <f t="shared" si="50"/>
      </c>
      <c r="AE104" s="236">
        <f t="shared" si="51"/>
      </c>
      <c r="AF104" s="236">
        <f t="shared" si="52"/>
      </c>
      <c r="AG104" s="236">
        <f t="shared" si="53"/>
      </c>
      <c r="AH104" s="235">
        <f t="shared" si="54"/>
      </c>
      <c r="AI104" s="237">
        <f t="shared" si="55"/>
      </c>
      <c r="AJ104" s="237">
        <f t="shared" si="56"/>
      </c>
      <c r="AK104" s="218">
        <f t="shared" si="61"/>
      </c>
      <c r="AL104" s="218">
        <f t="shared" si="62"/>
      </c>
      <c r="AM104" s="154"/>
      <c r="AN104" s="154"/>
      <c r="AO104" s="154"/>
      <c r="AP104" s="154"/>
      <c r="AQ104" s="154"/>
      <c r="AR104" s="154"/>
      <c r="AS104" s="154"/>
      <c r="AT104" s="154"/>
    </row>
    <row r="105" spans="1:46" ht="12" customHeight="1">
      <c r="A105" s="482"/>
      <c r="B105" s="222"/>
      <c r="C105" s="222"/>
      <c r="D105" s="222"/>
      <c r="E105" s="226">
        <f t="shared" si="33"/>
        <v>99</v>
      </c>
      <c r="F105" s="227">
        <f t="shared" si="31"/>
        <v>53.45572354211663</v>
      </c>
      <c r="G105" s="484"/>
      <c r="H105" s="228"/>
      <c r="I105" s="228"/>
      <c r="J105" s="228"/>
      <c r="K105" s="485"/>
      <c r="L105" s="229">
        <f t="shared" si="32"/>
        <v>98.00999999999999</v>
      </c>
      <c r="M105" s="230">
        <f t="shared" si="34"/>
        <v>30.566137225572888</v>
      </c>
      <c r="N105" s="231"/>
      <c r="O105" s="232">
        <f t="shared" si="35"/>
      </c>
      <c r="P105" s="232">
        <f t="shared" si="36"/>
      </c>
      <c r="Q105" s="232">
        <f t="shared" si="37"/>
      </c>
      <c r="R105" s="232">
        <f t="shared" si="38"/>
      </c>
      <c r="S105" s="232">
        <f t="shared" si="39"/>
      </c>
      <c r="T105" s="232">
        <f t="shared" si="40"/>
      </c>
      <c r="U105" s="240">
        <f t="shared" si="63"/>
      </c>
      <c r="V105" s="241">
        <f t="shared" si="64"/>
      </c>
      <c r="W105" s="235">
        <f t="shared" si="43"/>
      </c>
      <c r="X105" s="236">
        <f t="shared" si="44"/>
      </c>
      <c r="Y105" s="235">
        <f t="shared" si="59"/>
      </c>
      <c r="Z105" s="236">
        <f t="shared" si="60"/>
      </c>
      <c r="AA105" s="236">
        <f t="shared" si="47"/>
      </c>
      <c r="AB105" s="236">
        <f t="shared" si="48"/>
      </c>
      <c r="AC105" s="236">
        <f t="shared" si="49"/>
      </c>
      <c r="AD105" s="236">
        <f t="shared" si="50"/>
      </c>
      <c r="AE105" s="236">
        <f t="shared" si="51"/>
      </c>
      <c r="AF105" s="236">
        <f t="shared" si="52"/>
      </c>
      <c r="AG105" s="236">
        <f t="shared" si="53"/>
      </c>
      <c r="AH105" s="235">
        <f t="shared" si="54"/>
      </c>
      <c r="AI105" s="237">
        <f t="shared" si="55"/>
      </c>
      <c r="AJ105" s="237">
        <f t="shared" si="56"/>
      </c>
      <c r="AK105" s="218">
        <f t="shared" si="61"/>
      </c>
      <c r="AL105" s="218">
        <f t="shared" si="62"/>
      </c>
      <c r="AM105" s="154"/>
      <c r="AN105" s="154"/>
      <c r="AO105" s="154"/>
      <c r="AP105" s="154"/>
      <c r="AQ105" s="154"/>
      <c r="AR105" s="154"/>
      <c r="AS105" s="154"/>
      <c r="AT105" s="154"/>
    </row>
    <row r="106" spans="1:46" ht="12" customHeight="1">
      <c r="A106" s="482"/>
      <c r="B106" s="222"/>
      <c r="C106" s="222"/>
      <c r="D106" s="222"/>
      <c r="E106" s="226">
        <f t="shared" si="33"/>
        <v>100</v>
      </c>
      <c r="F106" s="227">
        <f t="shared" si="31"/>
        <v>53.99568034557235</v>
      </c>
      <c r="G106" s="484"/>
      <c r="H106" s="228"/>
      <c r="I106" s="228"/>
      <c r="J106" s="228"/>
      <c r="K106" s="485"/>
      <c r="L106" s="229">
        <f t="shared" si="32"/>
        <v>100</v>
      </c>
      <c r="M106" s="230">
        <f t="shared" si="34"/>
        <v>31.1867536226639</v>
      </c>
      <c r="N106" s="231"/>
      <c r="O106" s="232">
        <f t="shared" si="35"/>
      </c>
      <c r="P106" s="232">
        <f t="shared" si="36"/>
      </c>
      <c r="Q106" s="232">
        <f t="shared" si="37"/>
      </c>
      <c r="R106" s="232">
        <f t="shared" si="38"/>
      </c>
      <c r="S106" s="232">
        <f t="shared" si="39"/>
      </c>
      <c r="T106" s="232">
        <f t="shared" si="40"/>
      </c>
      <c r="U106" s="240">
        <f t="shared" si="63"/>
      </c>
      <c r="V106" s="241">
        <f t="shared" si="64"/>
      </c>
      <c r="W106" s="235">
        <f t="shared" si="43"/>
      </c>
      <c r="X106" s="236">
        <f t="shared" si="44"/>
      </c>
      <c r="Y106" s="235">
        <f t="shared" si="59"/>
      </c>
      <c r="Z106" s="236">
        <f t="shared" si="60"/>
      </c>
      <c r="AA106" s="236">
        <f t="shared" si="47"/>
      </c>
      <c r="AB106" s="236">
        <f t="shared" si="48"/>
      </c>
      <c r="AC106" s="236">
        <f t="shared" si="49"/>
      </c>
      <c r="AD106" s="236">
        <f t="shared" si="50"/>
      </c>
      <c r="AE106" s="236">
        <f t="shared" si="51"/>
      </c>
      <c r="AF106" s="236">
        <f t="shared" si="52"/>
      </c>
      <c r="AG106" s="236">
        <f t="shared" si="53"/>
      </c>
      <c r="AH106" s="235">
        <f t="shared" si="54"/>
      </c>
      <c r="AI106" s="237">
        <f t="shared" si="55"/>
      </c>
      <c r="AJ106" s="237">
        <f t="shared" si="56"/>
      </c>
      <c r="AK106" s="218">
        <f t="shared" si="61"/>
      </c>
      <c r="AL106" s="218">
        <f t="shared" si="62"/>
      </c>
      <c r="AM106" s="154"/>
      <c r="AN106" s="154"/>
      <c r="AO106" s="154"/>
      <c r="AP106" s="154"/>
      <c r="AQ106" s="154"/>
      <c r="AR106" s="154"/>
      <c r="AS106" s="154"/>
      <c r="AT106" s="154"/>
    </row>
    <row r="107" spans="1:46" ht="12" customHeight="1">
      <c r="A107" s="482"/>
      <c r="B107" s="222"/>
      <c r="C107" s="222"/>
      <c r="D107" s="222"/>
      <c r="E107" s="226">
        <f>1+E106</f>
        <v>101</v>
      </c>
      <c r="F107" s="227">
        <f t="shared" si="31"/>
        <v>54.53563714902808</v>
      </c>
      <c r="G107" s="484"/>
      <c r="H107" s="228"/>
      <c r="I107" s="228"/>
      <c r="J107" s="228"/>
      <c r="K107" s="485"/>
      <c r="L107" s="229">
        <f t="shared" si="32"/>
        <v>102.01</v>
      </c>
      <c r="M107" s="230">
        <f t="shared" si="34"/>
        <v>31.81360737047945</v>
      </c>
      <c r="N107" s="231"/>
      <c r="O107" s="232">
        <f t="shared" si="35"/>
      </c>
      <c r="P107" s="232">
        <f t="shared" si="36"/>
      </c>
      <c r="Q107" s="232">
        <f t="shared" si="37"/>
      </c>
      <c r="R107" s="232">
        <f t="shared" si="38"/>
      </c>
      <c r="S107" s="232">
        <f t="shared" si="39"/>
      </c>
      <c r="T107" s="232">
        <f t="shared" si="40"/>
      </c>
      <c r="U107" s="240">
        <f t="shared" si="63"/>
      </c>
      <c r="V107" s="241">
        <f t="shared" si="64"/>
      </c>
      <c r="W107" s="235">
        <f t="shared" si="43"/>
      </c>
      <c r="X107" s="236">
        <f t="shared" si="44"/>
      </c>
      <c r="Y107" s="235">
        <f t="shared" si="59"/>
      </c>
      <c r="Z107" s="236">
        <f t="shared" si="60"/>
      </c>
      <c r="AA107" s="236">
        <f t="shared" si="47"/>
      </c>
      <c r="AB107" s="236">
        <f t="shared" si="48"/>
      </c>
      <c r="AC107" s="236">
        <f t="shared" si="49"/>
      </c>
      <c r="AD107" s="236">
        <f t="shared" si="50"/>
      </c>
      <c r="AE107" s="236">
        <f t="shared" si="51"/>
      </c>
      <c r="AF107" s="236">
        <f t="shared" si="52"/>
      </c>
      <c r="AG107" s="236">
        <f t="shared" si="53"/>
      </c>
      <c r="AH107" s="235">
        <f t="shared" si="54"/>
      </c>
      <c r="AI107" s="237">
        <f t="shared" si="55"/>
      </c>
      <c r="AJ107" s="237">
        <f t="shared" si="56"/>
      </c>
      <c r="AK107" s="218">
        <f t="shared" si="61"/>
      </c>
      <c r="AL107" s="218">
        <f t="shared" si="62"/>
      </c>
      <c r="AM107" s="154"/>
      <c r="AN107" s="154"/>
      <c r="AO107" s="154"/>
      <c r="AP107" s="154"/>
      <c r="AQ107" s="154"/>
      <c r="AR107" s="154"/>
      <c r="AS107" s="154"/>
      <c r="AT107" s="154"/>
    </row>
    <row r="108" spans="1:46" ht="12" customHeight="1">
      <c r="A108" s="487"/>
      <c r="B108" s="222"/>
      <c r="C108" s="222"/>
      <c r="D108" s="222"/>
      <c r="E108" s="242">
        <f>1+E107</f>
        <v>102</v>
      </c>
      <c r="F108" s="243">
        <f t="shared" si="31"/>
        <v>55.0755939524838</v>
      </c>
      <c r="G108" s="488"/>
      <c r="H108" s="228"/>
      <c r="I108" s="228"/>
      <c r="J108" s="228"/>
      <c r="K108" s="486"/>
      <c r="L108" s="244">
        <f t="shared" si="32"/>
        <v>104.03999999999999</v>
      </c>
      <c r="M108" s="230">
        <f t="shared" si="34"/>
        <v>32.44669846901952</v>
      </c>
      <c r="N108" s="231"/>
      <c r="O108" s="232">
        <f t="shared" si="35"/>
      </c>
      <c r="P108" s="232">
        <f t="shared" si="36"/>
      </c>
      <c r="Q108" s="232">
        <f t="shared" si="37"/>
      </c>
      <c r="R108" s="232">
        <f t="shared" si="38"/>
      </c>
      <c r="S108" s="232">
        <f t="shared" si="39"/>
      </c>
      <c r="T108" s="232">
        <f t="shared" si="40"/>
      </c>
      <c r="U108" s="232">
        <f>IF((M108*3.55*$U$6*COS(RADIANS($AN$6)))&lt;$W$2,"OK","")</f>
      </c>
      <c r="V108" s="232">
        <f>IF((M108*3.55*$U$6*COS(RADIANS($AN$6)))&lt;$W$2,M108*4*$U$6*SIN(RADIANS($AM$6)),"")</f>
      </c>
      <c r="W108" s="245">
        <f t="shared" si="43"/>
      </c>
      <c r="X108" s="246">
        <f t="shared" si="44"/>
      </c>
      <c r="Y108" s="245">
        <f t="shared" si="59"/>
      </c>
      <c r="Z108" s="246">
        <f t="shared" si="60"/>
      </c>
      <c r="AA108" s="246">
        <f t="shared" si="47"/>
      </c>
      <c r="AB108" s="246">
        <f t="shared" si="48"/>
      </c>
      <c r="AC108" s="246">
        <f t="shared" si="49"/>
      </c>
      <c r="AD108" s="246">
        <f t="shared" si="50"/>
      </c>
      <c r="AE108" s="246">
        <f t="shared" si="51"/>
      </c>
      <c r="AF108" s="246">
        <f t="shared" si="52"/>
      </c>
      <c r="AG108" s="246">
        <f t="shared" si="53"/>
      </c>
      <c r="AH108" s="245">
        <f t="shared" si="54"/>
      </c>
      <c r="AI108" s="247">
        <f t="shared" si="55"/>
      </c>
      <c r="AJ108" s="247">
        <f t="shared" si="56"/>
      </c>
      <c r="AK108" s="248">
        <f>IF((L108*4.5*$AK$6*COS(RADIANS(22)))&lt;$W$2,"OK","")</f>
      </c>
      <c r="AL108" s="248">
        <f>IF((L108*4.5*$AK$6*COS(RADIANS(22)))&lt;$W$2,L108*4.5*$AK$6*SIN(RADIANS(70)),"")</f>
      </c>
      <c r="AM108" s="154"/>
      <c r="AN108" s="154"/>
      <c r="AO108" s="154"/>
      <c r="AP108" s="154"/>
      <c r="AQ108" s="154"/>
      <c r="AR108" s="154"/>
      <c r="AS108" s="154"/>
      <c r="AT108" s="154"/>
    </row>
    <row r="109" ht="12.75">
      <c r="W109" s="154"/>
    </row>
  </sheetData>
  <sheetProtection/>
  <mergeCells count="62">
    <mergeCell ref="A68:A80"/>
    <mergeCell ref="G68:G80"/>
    <mergeCell ref="K68:K80"/>
    <mergeCell ref="K56:K67"/>
    <mergeCell ref="A26:A34"/>
    <mergeCell ref="A35:A44"/>
    <mergeCell ref="G35:G44"/>
    <mergeCell ref="K35:K44"/>
    <mergeCell ref="A81:A94"/>
    <mergeCell ref="G81:G94"/>
    <mergeCell ref="K81:K108"/>
    <mergeCell ref="A95:A108"/>
    <mergeCell ref="G95:G108"/>
    <mergeCell ref="A45:A55"/>
    <mergeCell ref="G45:G55"/>
    <mergeCell ref="K45:K55"/>
    <mergeCell ref="A56:A67"/>
    <mergeCell ref="G56:G67"/>
    <mergeCell ref="G12:G17"/>
    <mergeCell ref="K12:K17"/>
    <mergeCell ref="A18:A25"/>
    <mergeCell ref="G18:G25"/>
    <mergeCell ref="A7:A11"/>
    <mergeCell ref="G7:G11"/>
    <mergeCell ref="K7:K11"/>
    <mergeCell ref="A12:A17"/>
    <mergeCell ref="A2:A5"/>
    <mergeCell ref="Q5:R5"/>
    <mergeCell ref="G26:G34"/>
    <mergeCell ref="K26:K34"/>
    <mergeCell ref="AK5:AL5"/>
    <mergeCell ref="K18:K25"/>
    <mergeCell ref="O5:P5"/>
    <mergeCell ref="U5:V5"/>
    <mergeCell ref="O6:P6"/>
    <mergeCell ref="U6:V6"/>
    <mergeCell ref="AI6:AJ6"/>
    <mergeCell ref="W1:AJ1"/>
    <mergeCell ref="AK1:AL1"/>
    <mergeCell ref="W6:X6"/>
    <mergeCell ref="Y5:Z5"/>
    <mergeCell ref="Y6:Z6"/>
    <mergeCell ref="AA5:AB5"/>
    <mergeCell ref="AG5:AH5"/>
    <mergeCell ref="AG6:AH6"/>
    <mergeCell ref="W5:X5"/>
    <mergeCell ref="AM3:AM5"/>
    <mergeCell ref="AN3:AN5"/>
    <mergeCell ref="AO3:AO5"/>
    <mergeCell ref="S5:T5"/>
    <mergeCell ref="O1:V1"/>
    <mergeCell ref="AI5:AJ5"/>
    <mergeCell ref="AM1:AN1"/>
    <mergeCell ref="AO1:AP1"/>
    <mergeCell ref="AP3:AP5"/>
    <mergeCell ref="S6:T6"/>
    <mergeCell ref="AC5:AD5"/>
    <mergeCell ref="AC6:AD6"/>
    <mergeCell ref="AE5:AF5"/>
    <mergeCell ref="AE6:AF6"/>
    <mergeCell ref="Q6:R6"/>
    <mergeCell ref="AA6:AB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11.421875" defaultRowHeight="15"/>
  <cols>
    <col min="1" max="1" width="2.7109375" style="389" customWidth="1"/>
    <col min="2" max="2" width="59.7109375" style="405" customWidth="1"/>
    <col min="3" max="4" width="16.421875" style="413" customWidth="1"/>
    <col min="5" max="5" width="21.8515625" style="416" customWidth="1"/>
    <col min="6" max="6" width="1.7109375" style="410" customWidth="1"/>
    <col min="7" max="7" width="12.421875" style="410" hidden="1" customWidth="1"/>
    <col min="8" max="10" width="11.421875" style="405" hidden="1" customWidth="1"/>
    <col min="11" max="16384" width="11.421875" style="405" customWidth="1"/>
  </cols>
  <sheetData>
    <row r="1" spans="1:16" s="396" customFormat="1" ht="15.75" customHeight="1">
      <c r="A1" s="389"/>
      <c r="B1" s="390"/>
      <c r="C1" s="391" t="s">
        <v>180</v>
      </c>
      <c r="D1" s="391" t="s">
        <v>181</v>
      </c>
      <c r="E1" s="392" t="s">
        <v>186</v>
      </c>
      <c r="F1" s="393"/>
      <c r="G1" s="394" t="s">
        <v>182</v>
      </c>
      <c r="H1" s="394" t="s">
        <v>183</v>
      </c>
      <c r="I1" s="394" t="s">
        <v>184</v>
      </c>
      <c r="J1" s="394" t="s">
        <v>185</v>
      </c>
      <c r="K1" s="395"/>
      <c r="L1" s="395"/>
      <c r="M1" s="395"/>
      <c r="N1" s="395"/>
      <c r="O1" s="395"/>
      <c r="P1" s="395"/>
    </row>
    <row r="2" spans="2:16" ht="18" customHeight="1">
      <c r="B2" s="397" t="s">
        <v>179</v>
      </c>
      <c r="C2" s="398">
        <f>IF(SUM(C4:C50)&gt;0,SUM(C4:C50),"")</f>
        <v>286</v>
      </c>
      <c r="D2" s="398">
        <f>C2/F2</f>
        <v>7.511265864557635</v>
      </c>
      <c r="E2" s="399" t="str">
        <f>IF(AND(NOT(ISBLANK(C2)),NOT(ISBLANK(D2))),RIGHT(G2,2)&amp;" J : "&amp;RIGHT(H2,2)&amp;" H : "&amp;RIGHT(I2,2)&amp;" ' "&amp;LEFT(J2,5)&amp;" ""","")</f>
        <v>1 J : 14 H : 4 ' 34,09 "</v>
      </c>
      <c r="F2" s="400">
        <f>SUM(F4:F50)/3600</f>
        <v>38.07613858397802</v>
      </c>
      <c r="G2" s="401">
        <f>IF(AND(NOT(ISBLANK(C2)),NOT(ISBLANK(D2))),ROUNDDOWN(MOD((C2/D2)*3600/(24*3600),24),0),"")</f>
        <v>1</v>
      </c>
      <c r="H2" s="402">
        <f>IF(AND(NOT(ISBLANK(C2)),NOT(ISBLANK(D2))),ROUNDDOWN(((MOD((C2/D2)*3600/(24*3600),24)-G2)*24*3600)/3600,0),"")</f>
        <v>14</v>
      </c>
      <c r="I2" s="402">
        <f>IF(AND(NOT(ISBLANK(C2)),NOT(ISBLANK(D2))),ROUNDDOWN(((((MOD((C2/D2)*3600/(24*3600),24)-G2)*24*3600)/3600-ROUNDDOWN(((MOD((C2/D2)*3600/(24*3600),24)-G2)*24*3600)/3600,0))*3600)/60,0),"")</f>
        <v>4</v>
      </c>
      <c r="J2" s="402">
        <f>IF(AND(NOT(ISBLANK(C2)),NOT(ISBLANK(D2))),(((((MOD((C2/D2)*3600/(24*3600),24)-G2)*24*3600)/3600-ROUNDDOWN(((MOD((C2/D2)*3600/(24*3600),24)-G2)*24*3600)/3600,0))*3600)/60-ROUNDDOWN(((((MOD((C2/D2)*3600/(24*3600),24)-G2)*24*3600)/3600-ROUNDDOWN(((MOD((C2/D2)*3600/(24*3600),24)-G2)*24*3600)/3600,0))*3600)/60,0))*60,"")</f>
        <v>34.09890232085908</v>
      </c>
      <c r="K2" s="403"/>
      <c r="L2" s="404"/>
      <c r="M2" s="404"/>
      <c r="N2" s="404"/>
      <c r="O2" s="404"/>
      <c r="P2" s="403"/>
    </row>
    <row r="3" spans="2:10" ht="24">
      <c r="B3" s="406" t="s">
        <v>177</v>
      </c>
      <c r="C3" s="407" t="s">
        <v>178</v>
      </c>
      <c r="D3" s="408" t="s">
        <v>176</v>
      </c>
      <c r="E3" s="409" t="s">
        <v>175</v>
      </c>
      <c r="H3" s="410"/>
      <c r="I3" s="410"/>
      <c r="J3" s="410"/>
    </row>
    <row r="4" spans="1:10" ht="15">
      <c r="A4" s="389">
        <f>IF(AND(B4&gt;0,C4&gt;0,D4&gt;0),MAX($A$3:A3)+1,"")</f>
        <v>1</v>
      </c>
      <c r="B4" s="380" t="s">
        <v>51</v>
      </c>
      <c r="C4" s="417">
        <f>4/46*286</f>
        <v>24.869565217391305</v>
      </c>
      <c r="D4" s="418">
        <v>6.8</v>
      </c>
      <c r="E4" s="411" t="str">
        <f>IF(AND(NOT(ISBLANK(C4)),NOT(ISBLANK(D4))),RIGHT(G4,2)&amp;" J : "&amp;RIGHT(H4,2)&amp;" H : "&amp;RIGHT(I4,2)&amp;" ' "&amp;LEFT(J4,5)&amp;" ""","")</f>
        <v>0 J : 3 H : 39 ' 26,24 "</v>
      </c>
      <c r="F4" s="400">
        <f aca="true" t="shared" si="0" ref="F4:F9">IF(AND(NOT(ISBLANK(C4)),NOT(ISBLANK(D4))),(C4/D4)*3600,"")</f>
        <v>13166.240409207161</v>
      </c>
      <c r="G4" s="401">
        <f aca="true" t="shared" si="1" ref="G4:G9">IF(AND(NOT(ISBLANK(C4)),NOT(ISBLANK(D4))),ROUNDDOWN(MOD((C4/D4)*3600/(24*3600),24),0),"")</f>
        <v>0</v>
      </c>
      <c r="H4" s="402">
        <f aca="true" t="shared" si="2" ref="H4:H9">IF(AND(NOT(ISBLANK(C4)),NOT(ISBLANK(D4))),ROUNDDOWN(((MOD((C4/D4)*3600/(24*3600),24)-G4)*24*3600)/3600,0),"")</f>
        <v>3</v>
      </c>
      <c r="I4" s="402">
        <f aca="true" t="shared" si="3" ref="I4:I9">IF(AND(NOT(ISBLANK(C4)),NOT(ISBLANK(D4))),ROUNDDOWN(((((MOD((C4/D4)*3600/(24*3600),24)-G4)*24*3600)/3600-ROUNDDOWN(((MOD((C4/D4)*3600/(24*3600),24)-G4)*24*3600)/3600,0))*3600)/60,0),"")</f>
        <v>39</v>
      </c>
      <c r="J4" s="402">
        <f aca="true" t="shared" si="4" ref="J4:J9">IF(AND(NOT(ISBLANK(C4)),NOT(ISBLANK(D4))),(((((MOD((C4/D4)*3600/(24*3600),24)-G4)*24*3600)/3600-ROUNDDOWN(((MOD((C4/D4)*3600/(24*3600),24)-G4)*24*3600)/3600,0))*3600)/60-ROUNDDOWN(((((MOD((C4/D4)*3600/(24*3600),24)-G4)*24*3600)/3600-ROUNDDOWN(((MOD((C4/D4)*3600/(24*3600),24)-G4)*24*3600)/3600,0))*3600)/60,0))*60,"")</f>
        <v>26.24040920716169</v>
      </c>
    </row>
    <row r="5" spans="1:10" ht="15">
      <c r="A5" s="389">
        <f>IF(AND(B5&gt;0,C5&gt;0,D5&gt;0),MAX($A$3:A4)+1,"")</f>
        <v>2</v>
      </c>
      <c r="B5" s="381" t="s">
        <v>52</v>
      </c>
      <c r="C5" s="417">
        <f>8/46*286</f>
        <v>49.73913043478261</v>
      </c>
      <c r="D5" s="418">
        <v>6.6</v>
      </c>
      <c r="E5" s="411" t="str">
        <f aca="true" t="shared" si="5" ref="E5:E50">IF(AND(NOT(ISBLANK(C5)),NOT(ISBLANK(D5))),RIGHT(G5,2)&amp;" J : "&amp;RIGHT(H5,2)&amp;" H : "&amp;RIGHT(I5,2)&amp;" ' "&amp;LEFT(J5,5)&amp;" ""","")</f>
        <v>0 J : 7 H : 32 ' 10,43 "</v>
      </c>
      <c r="F5" s="400">
        <f t="shared" si="0"/>
        <v>27130.4347826087</v>
      </c>
      <c r="G5" s="401">
        <f t="shared" si="1"/>
        <v>0</v>
      </c>
      <c r="H5" s="402">
        <f t="shared" si="2"/>
        <v>7</v>
      </c>
      <c r="I5" s="402">
        <f t="shared" si="3"/>
        <v>32</v>
      </c>
      <c r="J5" s="402">
        <f t="shared" si="4"/>
        <v>10.434782608701028</v>
      </c>
    </row>
    <row r="6" spans="1:10" ht="15">
      <c r="A6" s="389">
        <f>IF(AND(B6&gt;0,C6&gt;0,D6&gt;0),MAX($A$3:A5)+1,"")</f>
        <v>3</v>
      </c>
      <c r="B6" s="382" t="s">
        <v>47</v>
      </c>
      <c r="C6" s="417">
        <f>8/46*286</f>
        <v>49.73913043478261</v>
      </c>
      <c r="D6" s="418">
        <v>8</v>
      </c>
      <c r="E6" s="411" t="str">
        <f t="shared" si="5"/>
        <v>0 J : 6 H : 13 ' 2,608 "</v>
      </c>
      <c r="F6" s="400">
        <f t="shared" si="0"/>
        <v>22382.608695652176</v>
      </c>
      <c r="G6" s="401">
        <f t="shared" si="1"/>
        <v>0</v>
      </c>
      <c r="H6" s="402">
        <f t="shared" si="2"/>
        <v>6</v>
      </c>
      <c r="I6" s="402">
        <f t="shared" si="3"/>
        <v>13</v>
      </c>
      <c r="J6" s="402">
        <f t="shared" si="4"/>
        <v>2.6086956521773885</v>
      </c>
    </row>
    <row r="7" spans="1:10" ht="15">
      <c r="A7" s="389">
        <f>IF(AND(B7&gt;0,C7&gt;0,D7&gt;0),MAX($A$3:A6)+1,"")</f>
        <v>4</v>
      </c>
      <c r="B7" s="382" t="s">
        <v>48</v>
      </c>
      <c r="C7" s="417">
        <f>10/46*286</f>
        <v>62.17391304347826</v>
      </c>
      <c r="D7" s="418">
        <v>11.5</v>
      </c>
      <c r="E7" s="411" t="str">
        <f t="shared" si="5"/>
        <v>0 J : 5 H : 24 ' 23,13 "</v>
      </c>
      <c r="F7" s="400">
        <f t="shared" si="0"/>
        <v>19463.13799621928</v>
      </c>
      <c r="G7" s="401">
        <f t="shared" si="1"/>
        <v>0</v>
      </c>
      <c r="H7" s="402">
        <f t="shared" si="2"/>
        <v>5</v>
      </c>
      <c r="I7" s="402">
        <f t="shared" si="3"/>
        <v>24</v>
      </c>
      <c r="J7" s="402">
        <f t="shared" si="4"/>
        <v>23.137996219282044</v>
      </c>
    </row>
    <row r="8" spans="1:10" ht="15">
      <c r="A8" s="389">
        <f>IF(AND(B8&gt;0,C8&gt;0,D8&gt;0),MAX($A$3:A7)+1,"")</f>
        <v>5</v>
      </c>
      <c r="B8" s="382" t="s">
        <v>49</v>
      </c>
      <c r="C8" s="419">
        <f>8/46*286</f>
        <v>49.73913043478261</v>
      </c>
      <c r="D8" s="420">
        <v>7.8</v>
      </c>
      <c r="E8" s="411" t="str">
        <f t="shared" si="5"/>
        <v>0 J : 6 H : 22 ' 36,52 "</v>
      </c>
      <c r="F8" s="400">
        <f t="shared" si="0"/>
        <v>22956.521739130436</v>
      </c>
      <c r="G8" s="401">
        <f t="shared" si="1"/>
        <v>0</v>
      </c>
      <c r="H8" s="402">
        <f t="shared" si="2"/>
        <v>6</v>
      </c>
      <c r="I8" s="402">
        <f t="shared" si="3"/>
        <v>22</v>
      </c>
      <c r="J8" s="402">
        <f t="shared" si="4"/>
        <v>36.521739130434625</v>
      </c>
    </row>
    <row r="9" spans="1:10" ht="15">
      <c r="A9" s="389">
        <f>IF(AND(B9&gt;0,C9&gt;0,D9&gt;0),MAX($A$3:A8)+1,"")</f>
        <v>6</v>
      </c>
      <c r="B9" s="383" t="s">
        <v>50</v>
      </c>
      <c r="C9" s="421">
        <f>8/46*286</f>
        <v>49.73913043478261</v>
      </c>
      <c r="D9" s="422">
        <v>5.6</v>
      </c>
      <c r="E9" s="411" t="str">
        <f t="shared" si="5"/>
        <v>0 J : 8 H : 52 ' 55,15 "</v>
      </c>
      <c r="F9" s="400">
        <f t="shared" si="0"/>
        <v>31975.155279503106</v>
      </c>
      <c r="G9" s="401">
        <f t="shared" si="1"/>
        <v>0</v>
      </c>
      <c r="H9" s="402">
        <f t="shared" si="2"/>
        <v>8</v>
      </c>
      <c r="I9" s="402">
        <f t="shared" si="3"/>
        <v>52</v>
      </c>
      <c r="J9" s="402">
        <f t="shared" si="4"/>
        <v>55.15527950310599</v>
      </c>
    </row>
    <row r="10" spans="1:10" ht="15">
      <c r="A10" s="389">
        <f>IF(AND(B10&gt;0,C10&gt;0,D10&gt;0),MAX($A$3:A9)+1,"")</f>
      </c>
      <c r="B10" s="384"/>
      <c r="C10" s="423"/>
      <c r="D10" s="424"/>
      <c r="E10" s="411">
        <f t="shared" si="5"/>
      </c>
      <c r="F10" s="400">
        <f aca="true" t="shared" si="6" ref="F10:F49">IF(AND(NOT(ISBLANK(C10)),NOT(ISBLANK(D10))),(C10/D10)*3600,"")</f>
      </c>
      <c r="G10" s="401">
        <f aca="true" t="shared" si="7" ref="G10:G49">IF(AND(NOT(ISBLANK(C10)),NOT(ISBLANK(D10))),ROUNDDOWN(MOD((C10/D10)*3600/(24*3600),24),0),"")</f>
      </c>
      <c r="H10" s="402">
        <f aca="true" t="shared" si="8" ref="H10:H49">IF(AND(NOT(ISBLANK(C10)),NOT(ISBLANK(D10))),ROUNDDOWN(((MOD((C10/D10)*3600/(24*3600),24)-G10)*24*3600)/3600,0),"")</f>
      </c>
      <c r="I10" s="402">
        <f aca="true" t="shared" si="9" ref="I10:I49">IF(AND(NOT(ISBLANK(C10)),NOT(ISBLANK(D10))),ROUNDDOWN(((((MOD((C10/D10)*3600/(24*3600),24)-G10)*24*3600)/3600-ROUNDDOWN(((MOD((C10/D10)*3600/(24*3600),24)-G10)*24*3600)/3600,0))*3600)/60,0),"")</f>
      </c>
      <c r="J10" s="402">
        <f aca="true" t="shared" si="10" ref="J10:J49">IF(AND(NOT(ISBLANK(C10)),NOT(ISBLANK(D10))),(((((MOD((C10/D10)*3600/(24*3600),24)-G10)*24*3600)/3600-ROUNDDOWN(((MOD((C10/D10)*3600/(24*3600),24)-G10)*24*3600)/3600,0))*3600)/60-ROUNDDOWN(((((MOD((C10/D10)*3600/(24*3600),24)-G10)*24*3600)/3600-ROUNDDOWN(((MOD((C10/D10)*3600/(24*3600),24)-G10)*24*3600)/3600,0))*3600)/60,0))*60,"")</f>
      </c>
    </row>
    <row r="11" spans="1:10" ht="15">
      <c r="A11" s="389">
        <f>IF(AND(B11&gt;0,C11&gt;0,D11&gt;0),MAX($A$3:A10)+1,"")</f>
      </c>
      <c r="B11" s="385"/>
      <c r="C11" s="423"/>
      <c r="D11" s="424"/>
      <c r="E11" s="411">
        <f t="shared" si="5"/>
      </c>
      <c r="F11" s="400">
        <f t="shared" si="6"/>
      </c>
      <c r="G11" s="401">
        <f t="shared" si="7"/>
      </c>
      <c r="H11" s="402">
        <f t="shared" si="8"/>
      </c>
      <c r="I11" s="402">
        <f t="shared" si="9"/>
      </c>
      <c r="J11" s="402">
        <f t="shared" si="10"/>
      </c>
    </row>
    <row r="12" spans="1:10" ht="15">
      <c r="A12" s="389">
        <f>IF(AND(B12&gt;0,C12&gt;0,D12&gt;0),MAX($A$3:A11)+1,"")</f>
      </c>
      <c r="B12" s="385"/>
      <c r="C12" s="423"/>
      <c r="D12" s="424"/>
      <c r="E12" s="411">
        <f t="shared" si="5"/>
      </c>
      <c r="F12" s="400">
        <f t="shared" si="6"/>
      </c>
      <c r="G12" s="401">
        <f t="shared" si="7"/>
      </c>
      <c r="H12" s="402">
        <f t="shared" si="8"/>
      </c>
      <c r="I12" s="402">
        <f t="shared" si="9"/>
      </c>
      <c r="J12" s="402">
        <f t="shared" si="10"/>
      </c>
    </row>
    <row r="13" spans="1:10" ht="15">
      <c r="A13" s="389">
        <f>IF(AND(B13&gt;0,C13&gt;0,D13&gt;0),MAX($A$3:A12)+1,"")</f>
      </c>
      <c r="B13" s="385"/>
      <c r="C13" s="425"/>
      <c r="D13" s="424"/>
      <c r="E13" s="411">
        <f t="shared" si="5"/>
      </c>
      <c r="F13" s="400">
        <f t="shared" si="6"/>
      </c>
      <c r="G13" s="401">
        <f t="shared" si="7"/>
      </c>
      <c r="H13" s="402">
        <f t="shared" si="8"/>
      </c>
      <c r="I13" s="402">
        <f t="shared" si="9"/>
      </c>
      <c r="J13" s="402">
        <f t="shared" si="10"/>
      </c>
    </row>
    <row r="14" spans="1:10" ht="15">
      <c r="A14" s="389">
        <f>IF(AND(B14&gt;0,C14&gt;0,D14&gt;0),MAX($A$3:A13)+1,"")</f>
      </c>
      <c r="B14" s="385"/>
      <c r="C14" s="425"/>
      <c r="D14" s="424"/>
      <c r="E14" s="411">
        <f t="shared" si="5"/>
      </c>
      <c r="F14" s="400">
        <f t="shared" si="6"/>
      </c>
      <c r="G14" s="401">
        <f t="shared" si="7"/>
      </c>
      <c r="H14" s="402">
        <f t="shared" si="8"/>
      </c>
      <c r="I14" s="402">
        <f t="shared" si="9"/>
      </c>
      <c r="J14" s="402">
        <f t="shared" si="10"/>
      </c>
    </row>
    <row r="15" spans="1:10" ht="15">
      <c r="A15" s="389">
        <f>IF(AND(B15&gt;0,C15&gt;0,D15&gt;0),MAX($A$3:A14)+1,"")</f>
      </c>
      <c r="B15" s="385"/>
      <c r="C15" s="423"/>
      <c r="D15" s="426"/>
      <c r="E15" s="411">
        <f t="shared" si="5"/>
      </c>
      <c r="F15" s="400">
        <f t="shared" si="6"/>
      </c>
      <c r="G15" s="401">
        <f t="shared" si="7"/>
      </c>
      <c r="H15" s="402">
        <f t="shared" si="8"/>
      </c>
      <c r="I15" s="402">
        <f t="shared" si="9"/>
      </c>
      <c r="J15" s="402">
        <f t="shared" si="10"/>
      </c>
    </row>
    <row r="16" spans="1:10" ht="15">
      <c r="A16" s="389">
        <f>IF(AND(B16&gt;0,C16&gt;0,D16&gt;0),MAX($A$3:A15)+1,"")</f>
      </c>
      <c r="B16" s="385"/>
      <c r="C16" s="423"/>
      <c r="D16" s="426"/>
      <c r="E16" s="411">
        <f t="shared" si="5"/>
      </c>
      <c r="F16" s="400">
        <f t="shared" si="6"/>
      </c>
      <c r="G16" s="401">
        <f t="shared" si="7"/>
      </c>
      <c r="H16" s="402">
        <f t="shared" si="8"/>
      </c>
      <c r="I16" s="402">
        <f t="shared" si="9"/>
      </c>
      <c r="J16" s="402">
        <f t="shared" si="10"/>
      </c>
    </row>
    <row r="17" spans="1:10" ht="15">
      <c r="A17" s="389">
        <f>IF(AND(B17&gt;0,C17&gt;0,D17&gt;0),MAX($A$3:A16)+1,"")</f>
      </c>
      <c r="B17" s="385"/>
      <c r="C17" s="423"/>
      <c r="D17" s="426"/>
      <c r="E17" s="411">
        <f t="shared" si="5"/>
      </c>
      <c r="F17" s="400">
        <f t="shared" si="6"/>
      </c>
      <c r="G17" s="401">
        <f t="shared" si="7"/>
      </c>
      <c r="H17" s="402">
        <f t="shared" si="8"/>
      </c>
      <c r="I17" s="402">
        <f t="shared" si="9"/>
      </c>
      <c r="J17" s="402">
        <f t="shared" si="10"/>
      </c>
    </row>
    <row r="18" spans="1:10" ht="15">
      <c r="A18" s="389">
        <f>IF(AND(B18&gt;0,C18&gt;0,D18&gt;0),MAX($A$3:A17)+1,"")</f>
      </c>
      <c r="B18" s="385"/>
      <c r="C18" s="423"/>
      <c r="D18" s="426"/>
      <c r="E18" s="411">
        <f t="shared" si="5"/>
      </c>
      <c r="F18" s="400">
        <f t="shared" si="6"/>
      </c>
      <c r="G18" s="401">
        <f t="shared" si="7"/>
      </c>
      <c r="H18" s="402">
        <f t="shared" si="8"/>
      </c>
      <c r="I18" s="402">
        <f t="shared" si="9"/>
      </c>
      <c r="J18" s="402">
        <f t="shared" si="10"/>
      </c>
    </row>
    <row r="19" spans="1:10" ht="15">
      <c r="A19" s="389">
        <f>IF(AND(B19&gt;0,C19&gt;0,D19&gt;0),MAX($A$3:A18)+1,"")</f>
      </c>
      <c r="B19" s="385"/>
      <c r="C19" s="423"/>
      <c r="D19" s="426"/>
      <c r="E19" s="411">
        <f t="shared" si="5"/>
      </c>
      <c r="F19" s="400">
        <f t="shared" si="6"/>
      </c>
      <c r="G19" s="401">
        <f t="shared" si="7"/>
      </c>
      <c r="H19" s="402">
        <f t="shared" si="8"/>
      </c>
      <c r="I19" s="402">
        <f t="shared" si="9"/>
      </c>
      <c r="J19" s="402">
        <f t="shared" si="10"/>
      </c>
    </row>
    <row r="20" spans="1:10" ht="15">
      <c r="A20" s="389">
        <f>IF(AND(B20&gt;0,C20&gt;0,D20&gt;0),MAX($A$3:A19)+1,"")</f>
      </c>
      <c r="B20" s="386"/>
      <c r="C20" s="423"/>
      <c r="D20" s="426"/>
      <c r="E20" s="411">
        <f t="shared" si="5"/>
      </c>
      <c r="F20" s="400">
        <f t="shared" si="6"/>
      </c>
      <c r="G20" s="401">
        <f t="shared" si="7"/>
      </c>
      <c r="H20" s="402">
        <f t="shared" si="8"/>
      </c>
      <c r="I20" s="402">
        <f t="shared" si="9"/>
      </c>
      <c r="J20" s="402">
        <f t="shared" si="10"/>
      </c>
    </row>
    <row r="21" spans="1:10" ht="15">
      <c r="A21" s="389">
        <f>IF(AND(B21&gt;0,C21&gt;0,D21&gt;0),MAX($A$3:A20)+1,"")</f>
      </c>
      <c r="B21" s="385"/>
      <c r="C21" s="423"/>
      <c r="D21" s="426"/>
      <c r="E21" s="411">
        <f t="shared" si="5"/>
      </c>
      <c r="F21" s="400">
        <f t="shared" si="6"/>
      </c>
      <c r="G21" s="401">
        <f t="shared" si="7"/>
      </c>
      <c r="H21" s="402">
        <f t="shared" si="8"/>
      </c>
      <c r="I21" s="402">
        <f t="shared" si="9"/>
      </c>
      <c r="J21" s="402">
        <f t="shared" si="10"/>
      </c>
    </row>
    <row r="22" spans="1:10" ht="15">
      <c r="A22" s="389">
        <f>IF(AND(B22&gt;0,C22&gt;0,D22&gt;0),MAX($A$3:A21)+1,"")</f>
      </c>
      <c r="B22" s="385"/>
      <c r="C22" s="423"/>
      <c r="D22" s="426"/>
      <c r="E22" s="411">
        <f t="shared" si="5"/>
      </c>
      <c r="F22" s="400">
        <f t="shared" si="6"/>
      </c>
      <c r="G22" s="401">
        <f t="shared" si="7"/>
      </c>
      <c r="H22" s="402">
        <f t="shared" si="8"/>
      </c>
      <c r="I22" s="402">
        <f t="shared" si="9"/>
      </c>
      <c r="J22" s="402">
        <f t="shared" si="10"/>
      </c>
    </row>
    <row r="23" spans="1:10" ht="15">
      <c r="A23" s="389">
        <f>IF(AND(B23&gt;0,C23&gt;0,D23&gt;0),MAX($A$3:A22)+1,"")</f>
      </c>
      <c r="B23" s="386"/>
      <c r="C23" s="423"/>
      <c r="D23" s="426"/>
      <c r="E23" s="411">
        <f t="shared" si="5"/>
      </c>
      <c r="F23" s="400">
        <f t="shared" si="6"/>
      </c>
      <c r="G23" s="401">
        <f t="shared" si="7"/>
      </c>
      <c r="H23" s="402">
        <f t="shared" si="8"/>
      </c>
      <c r="I23" s="402">
        <f t="shared" si="9"/>
      </c>
      <c r="J23" s="402">
        <f t="shared" si="10"/>
      </c>
    </row>
    <row r="24" spans="1:10" ht="15">
      <c r="A24" s="389">
        <f>IF(AND(B24&gt;0,C24&gt;0,D24&gt;0),MAX($A$3:A23)+1,"")</f>
      </c>
      <c r="B24" s="386"/>
      <c r="C24" s="423"/>
      <c r="D24" s="426"/>
      <c r="E24" s="411">
        <f t="shared" si="5"/>
      </c>
      <c r="F24" s="400">
        <f t="shared" si="6"/>
      </c>
      <c r="G24" s="401">
        <f t="shared" si="7"/>
      </c>
      <c r="H24" s="402">
        <f t="shared" si="8"/>
      </c>
      <c r="I24" s="402">
        <f t="shared" si="9"/>
      </c>
      <c r="J24" s="402">
        <f t="shared" si="10"/>
      </c>
    </row>
    <row r="25" spans="1:10" ht="15">
      <c r="A25" s="389">
        <f>IF(AND(B25&gt;0,C25&gt;0,D25&gt;0),MAX($A$3:A24)+1,"")</f>
      </c>
      <c r="B25" s="387"/>
      <c r="C25" s="423"/>
      <c r="D25" s="426"/>
      <c r="E25" s="411">
        <f t="shared" si="5"/>
      </c>
      <c r="F25" s="400">
        <f t="shared" si="6"/>
      </c>
      <c r="G25" s="401">
        <f t="shared" si="7"/>
      </c>
      <c r="H25" s="402">
        <f t="shared" si="8"/>
      </c>
      <c r="I25" s="402">
        <f t="shared" si="9"/>
      </c>
      <c r="J25" s="402">
        <f t="shared" si="10"/>
      </c>
    </row>
    <row r="26" spans="1:10" ht="15">
      <c r="A26" s="389">
        <f>IF(AND(B26&gt;0,C26&gt;0,D26&gt;0),MAX($A$3:A25)+1,"")</f>
      </c>
      <c r="B26" s="387"/>
      <c r="C26" s="423"/>
      <c r="D26" s="426"/>
      <c r="E26" s="411">
        <f t="shared" si="5"/>
      </c>
      <c r="F26" s="400">
        <f t="shared" si="6"/>
      </c>
      <c r="G26" s="401">
        <f t="shared" si="7"/>
      </c>
      <c r="H26" s="402">
        <f t="shared" si="8"/>
      </c>
      <c r="I26" s="402">
        <f t="shared" si="9"/>
      </c>
      <c r="J26" s="402">
        <f t="shared" si="10"/>
      </c>
    </row>
    <row r="27" spans="1:10" ht="15">
      <c r="A27" s="389">
        <f>IF(AND(B27&gt;0,C27&gt;0,D27&gt;0),MAX($A$3:A26)+1,"")</f>
      </c>
      <c r="B27" s="387"/>
      <c r="C27" s="423"/>
      <c r="D27" s="426"/>
      <c r="E27" s="411">
        <f t="shared" si="5"/>
      </c>
      <c r="F27" s="400">
        <f t="shared" si="6"/>
      </c>
      <c r="G27" s="401">
        <f t="shared" si="7"/>
      </c>
      <c r="H27" s="402">
        <f t="shared" si="8"/>
      </c>
      <c r="I27" s="402">
        <f t="shared" si="9"/>
      </c>
      <c r="J27" s="402">
        <f t="shared" si="10"/>
      </c>
    </row>
    <row r="28" spans="1:10" ht="15">
      <c r="A28" s="389">
        <f>IF(AND(B28&gt;0,C28&gt;0,D28&gt;0),MAX($A$3:A27)+1,"")</f>
      </c>
      <c r="B28" s="387"/>
      <c r="C28" s="423"/>
      <c r="D28" s="426"/>
      <c r="E28" s="411">
        <f t="shared" si="5"/>
      </c>
      <c r="F28" s="400">
        <f t="shared" si="6"/>
      </c>
      <c r="G28" s="401">
        <f t="shared" si="7"/>
      </c>
      <c r="H28" s="402">
        <f t="shared" si="8"/>
      </c>
      <c r="I28" s="402">
        <f t="shared" si="9"/>
      </c>
      <c r="J28" s="402">
        <f t="shared" si="10"/>
      </c>
    </row>
    <row r="29" spans="1:10" ht="15">
      <c r="A29" s="389">
        <f>IF(AND(B29&gt;0,C29&gt;0,D29&gt;0),MAX($A$3:A28)+1,"")</f>
      </c>
      <c r="B29" s="387"/>
      <c r="C29" s="423"/>
      <c r="D29" s="426"/>
      <c r="E29" s="411">
        <f t="shared" si="5"/>
      </c>
      <c r="F29" s="400">
        <f t="shared" si="6"/>
      </c>
      <c r="G29" s="401">
        <f t="shared" si="7"/>
      </c>
      <c r="H29" s="402">
        <f t="shared" si="8"/>
      </c>
      <c r="I29" s="402">
        <f t="shared" si="9"/>
      </c>
      <c r="J29" s="402">
        <f t="shared" si="10"/>
      </c>
    </row>
    <row r="30" spans="1:10" ht="15">
      <c r="A30" s="389">
        <f>IF(AND(B30&gt;0,C30&gt;0,D30&gt;0),MAX($A$3:A29)+1,"")</f>
      </c>
      <c r="B30" s="387"/>
      <c r="C30" s="423"/>
      <c r="D30" s="426"/>
      <c r="E30" s="411">
        <f t="shared" si="5"/>
      </c>
      <c r="F30" s="400">
        <f t="shared" si="6"/>
      </c>
      <c r="G30" s="401">
        <f t="shared" si="7"/>
      </c>
      <c r="H30" s="402">
        <f t="shared" si="8"/>
      </c>
      <c r="I30" s="402">
        <f t="shared" si="9"/>
      </c>
      <c r="J30" s="402">
        <f t="shared" si="10"/>
      </c>
    </row>
    <row r="31" spans="1:10" ht="15">
      <c r="A31" s="389">
        <f>IF(AND(B31&gt;0,C31&gt;0,D31&gt;0),MAX($A$3:A30)+1,"")</f>
      </c>
      <c r="B31" s="387"/>
      <c r="C31" s="423"/>
      <c r="D31" s="426"/>
      <c r="E31" s="411">
        <f t="shared" si="5"/>
      </c>
      <c r="F31" s="400">
        <f t="shared" si="6"/>
      </c>
      <c r="G31" s="401">
        <f t="shared" si="7"/>
      </c>
      <c r="H31" s="402">
        <f t="shared" si="8"/>
      </c>
      <c r="I31" s="402">
        <f t="shared" si="9"/>
      </c>
      <c r="J31" s="402">
        <f t="shared" si="10"/>
      </c>
    </row>
    <row r="32" spans="1:10" ht="15">
      <c r="A32" s="389">
        <f>IF(AND(B32&gt;0,C32&gt;0,D32&gt;0),MAX($A$3:A31)+1,"")</f>
      </c>
      <c r="B32" s="387"/>
      <c r="C32" s="423"/>
      <c r="D32" s="426"/>
      <c r="E32" s="411">
        <f t="shared" si="5"/>
      </c>
      <c r="F32" s="400">
        <f t="shared" si="6"/>
      </c>
      <c r="G32" s="401">
        <f t="shared" si="7"/>
      </c>
      <c r="H32" s="402">
        <f t="shared" si="8"/>
      </c>
      <c r="I32" s="402">
        <f t="shared" si="9"/>
      </c>
      <c r="J32" s="402">
        <f t="shared" si="10"/>
      </c>
    </row>
    <row r="33" spans="1:10" ht="15">
      <c r="A33" s="389">
        <f>IF(AND(B33&gt;0,C33&gt;0,D33&gt;0),MAX($A$3:A32)+1,"")</f>
      </c>
      <c r="B33" s="387"/>
      <c r="C33" s="423"/>
      <c r="D33" s="426"/>
      <c r="E33" s="411">
        <f t="shared" si="5"/>
      </c>
      <c r="F33" s="400">
        <f t="shared" si="6"/>
      </c>
      <c r="G33" s="401">
        <f t="shared" si="7"/>
      </c>
      <c r="H33" s="402">
        <f t="shared" si="8"/>
      </c>
      <c r="I33" s="402">
        <f t="shared" si="9"/>
      </c>
      <c r="J33" s="402">
        <f t="shared" si="10"/>
      </c>
    </row>
    <row r="34" spans="1:10" ht="15">
      <c r="A34" s="389">
        <f>IF(AND(B34&gt;0,C34&gt;0,D34&gt;0),MAX($A$3:A33)+1,"")</f>
      </c>
      <c r="B34" s="387"/>
      <c r="C34" s="423"/>
      <c r="D34" s="426"/>
      <c r="E34" s="411">
        <f t="shared" si="5"/>
      </c>
      <c r="F34" s="400">
        <f t="shared" si="6"/>
      </c>
      <c r="G34" s="401">
        <f t="shared" si="7"/>
      </c>
      <c r="H34" s="402">
        <f t="shared" si="8"/>
      </c>
      <c r="I34" s="402">
        <f t="shared" si="9"/>
      </c>
      <c r="J34" s="402">
        <f t="shared" si="10"/>
      </c>
    </row>
    <row r="35" spans="1:10" ht="15">
      <c r="A35" s="389">
        <f>IF(AND(B35&gt;0,C35&gt;0,D35&gt;0),MAX($A$3:A34)+1,"")</f>
      </c>
      <c r="B35" s="387"/>
      <c r="C35" s="423"/>
      <c r="D35" s="426"/>
      <c r="E35" s="411">
        <f t="shared" si="5"/>
      </c>
      <c r="F35" s="400">
        <f t="shared" si="6"/>
      </c>
      <c r="G35" s="401">
        <f t="shared" si="7"/>
      </c>
      <c r="H35" s="402">
        <f t="shared" si="8"/>
      </c>
      <c r="I35" s="402">
        <f t="shared" si="9"/>
      </c>
      <c r="J35" s="402">
        <f t="shared" si="10"/>
      </c>
    </row>
    <row r="36" spans="1:10" ht="15">
      <c r="A36" s="389">
        <f>IF(AND(B36&gt;0,C36&gt;0,D36&gt;0),MAX($A$3:A35)+1,"")</f>
      </c>
      <c r="B36" s="387"/>
      <c r="C36" s="423"/>
      <c r="D36" s="426"/>
      <c r="E36" s="411">
        <f t="shared" si="5"/>
      </c>
      <c r="F36" s="400">
        <f t="shared" si="6"/>
      </c>
      <c r="G36" s="401">
        <f t="shared" si="7"/>
      </c>
      <c r="H36" s="402">
        <f t="shared" si="8"/>
      </c>
      <c r="I36" s="402">
        <f t="shared" si="9"/>
      </c>
      <c r="J36" s="402">
        <f t="shared" si="10"/>
      </c>
    </row>
    <row r="37" spans="1:10" ht="15">
      <c r="A37" s="389">
        <f>IF(AND(B37&gt;0,C37&gt;0,D37&gt;0),MAX($A$3:A36)+1,"")</f>
      </c>
      <c r="B37" s="387"/>
      <c r="C37" s="423"/>
      <c r="D37" s="426"/>
      <c r="E37" s="411">
        <f t="shared" si="5"/>
      </c>
      <c r="F37" s="400">
        <f t="shared" si="6"/>
      </c>
      <c r="G37" s="401">
        <f t="shared" si="7"/>
      </c>
      <c r="H37" s="402">
        <f t="shared" si="8"/>
      </c>
      <c r="I37" s="402">
        <f t="shared" si="9"/>
      </c>
      <c r="J37" s="402">
        <f t="shared" si="10"/>
      </c>
    </row>
    <row r="38" spans="1:10" ht="15">
      <c r="A38" s="389">
        <f>IF(AND(B38&gt;0,C38&gt;0,D38&gt;0),MAX($A$3:A37)+1,"")</f>
      </c>
      <c r="B38" s="387"/>
      <c r="C38" s="423"/>
      <c r="D38" s="426"/>
      <c r="E38" s="411">
        <f t="shared" si="5"/>
      </c>
      <c r="F38" s="400">
        <f t="shared" si="6"/>
      </c>
      <c r="G38" s="401">
        <f t="shared" si="7"/>
      </c>
      <c r="H38" s="402">
        <f t="shared" si="8"/>
      </c>
      <c r="I38" s="402">
        <f t="shared" si="9"/>
      </c>
      <c r="J38" s="402">
        <f t="shared" si="10"/>
      </c>
    </row>
    <row r="39" spans="1:10" ht="15">
      <c r="A39" s="389">
        <f>IF(AND(B39&gt;0,C39&gt;0,D39&gt;0),MAX($A$3:A38)+1,"")</f>
      </c>
      <c r="B39" s="387"/>
      <c r="C39" s="423"/>
      <c r="D39" s="426"/>
      <c r="E39" s="411">
        <f t="shared" si="5"/>
      </c>
      <c r="F39" s="400">
        <f t="shared" si="6"/>
      </c>
      <c r="G39" s="401">
        <f t="shared" si="7"/>
      </c>
      <c r="H39" s="402">
        <f t="shared" si="8"/>
      </c>
      <c r="I39" s="402">
        <f t="shared" si="9"/>
      </c>
      <c r="J39" s="402">
        <f t="shared" si="10"/>
      </c>
    </row>
    <row r="40" spans="1:10" ht="15">
      <c r="A40" s="389">
        <f>IF(AND(B40&gt;0,C40&gt;0,D40&gt;0),MAX($A$3:A39)+1,"")</f>
      </c>
      <c r="B40" s="387"/>
      <c r="C40" s="423"/>
      <c r="D40" s="426"/>
      <c r="E40" s="411">
        <f t="shared" si="5"/>
      </c>
      <c r="F40" s="400">
        <f t="shared" si="6"/>
      </c>
      <c r="G40" s="401">
        <f t="shared" si="7"/>
      </c>
      <c r="H40" s="402">
        <f t="shared" si="8"/>
      </c>
      <c r="I40" s="402">
        <f t="shared" si="9"/>
      </c>
      <c r="J40" s="402">
        <f t="shared" si="10"/>
      </c>
    </row>
    <row r="41" spans="1:10" ht="15">
      <c r="A41" s="389">
        <f>IF(AND(B41&gt;0,C41&gt;0,D41&gt;0),MAX($A$3:A40)+1,"")</f>
      </c>
      <c r="B41" s="387"/>
      <c r="C41" s="425"/>
      <c r="D41" s="424"/>
      <c r="E41" s="411">
        <f t="shared" si="5"/>
      </c>
      <c r="F41" s="400">
        <f t="shared" si="6"/>
      </c>
      <c r="G41" s="401">
        <f t="shared" si="7"/>
      </c>
      <c r="H41" s="402">
        <f t="shared" si="8"/>
      </c>
      <c r="I41" s="402">
        <f t="shared" si="9"/>
      </c>
      <c r="J41" s="402">
        <f t="shared" si="10"/>
      </c>
    </row>
    <row r="42" spans="1:10" ht="15">
      <c r="A42" s="389">
        <f>IF(AND(B42&gt;0,C42&gt;0,D42&gt;0),MAX($A$3:A41)+1,"")</f>
      </c>
      <c r="B42" s="387"/>
      <c r="C42" s="425"/>
      <c r="D42" s="424"/>
      <c r="E42" s="411">
        <f t="shared" si="5"/>
      </c>
      <c r="F42" s="400">
        <f t="shared" si="6"/>
      </c>
      <c r="G42" s="401">
        <f t="shared" si="7"/>
      </c>
      <c r="H42" s="402">
        <f t="shared" si="8"/>
      </c>
      <c r="I42" s="402">
        <f t="shared" si="9"/>
      </c>
      <c r="J42" s="402">
        <f t="shared" si="10"/>
      </c>
    </row>
    <row r="43" spans="1:10" ht="15">
      <c r="A43" s="389">
        <f>IF(AND(B43&gt;0,C43&gt;0,D43&gt;0),MAX($A$3:A42)+1,"")</f>
      </c>
      <c r="B43" s="387"/>
      <c r="C43" s="425"/>
      <c r="D43" s="424"/>
      <c r="E43" s="411">
        <f t="shared" si="5"/>
      </c>
      <c r="F43" s="400">
        <f t="shared" si="6"/>
      </c>
      <c r="G43" s="401">
        <f t="shared" si="7"/>
      </c>
      <c r="H43" s="402">
        <f t="shared" si="8"/>
      </c>
      <c r="I43" s="402">
        <f t="shared" si="9"/>
      </c>
      <c r="J43" s="402">
        <f t="shared" si="10"/>
      </c>
    </row>
    <row r="44" spans="1:10" ht="15">
      <c r="A44" s="389">
        <f>IF(AND(B44&gt;0,C44&gt;0,D44&gt;0),MAX($A$3:A43)+1,"")</f>
      </c>
      <c r="B44" s="387"/>
      <c r="C44" s="425"/>
      <c r="D44" s="424"/>
      <c r="E44" s="411">
        <f t="shared" si="5"/>
      </c>
      <c r="F44" s="400">
        <f t="shared" si="6"/>
      </c>
      <c r="G44" s="401">
        <f t="shared" si="7"/>
      </c>
      <c r="H44" s="402">
        <f t="shared" si="8"/>
      </c>
      <c r="I44" s="402">
        <f t="shared" si="9"/>
      </c>
      <c r="J44" s="402">
        <f t="shared" si="10"/>
      </c>
    </row>
    <row r="45" spans="1:10" ht="15">
      <c r="A45" s="389">
        <f>IF(AND(B45&gt;0,C45&gt;0,D45&gt;0),MAX($A$3:A44)+1,"")</f>
      </c>
      <c r="B45" s="387"/>
      <c r="C45" s="425"/>
      <c r="D45" s="424"/>
      <c r="E45" s="411">
        <f t="shared" si="5"/>
      </c>
      <c r="F45" s="400">
        <f t="shared" si="6"/>
      </c>
      <c r="G45" s="401">
        <f t="shared" si="7"/>
      </c>
      <c r="H45" s="402">
        <f t="shared" si="8"/>
      </c>
      <c r="I45" s="402">
        <f t="shared" si="9"/>
      </c>
      <c r="J45" s="402">
        <f t="shared" si="10"/>
      </c>
    </row>
    <row r="46" spans="1:10" ht="15">
      <c r="A46" s="389">
        <f>IF(AND(B46&gt;0,C46&gt;0,D46&gt;0),MAX($A$3:A45)+1,"")</f>
      </c>
      <c r="B46" s="387"/>
      <c r="C46" s="425"/>
      <c r="D46" s="424"/>
      <c r="E46" s="411">
        <f t="shared" si="5"/>
      </c>
      <c r="F46" s="400">
        <f t="shared" si="6"/>
      </c>
      <c r="G46" s="401">
        <f t="shared" si="7"/>
      </c>
      <c r="H46" s="402">
        <f t="shared" si="8"/>
      </c>
      <c r="I46" s="402">
        <f t="shared" si="9"/>
      </c>
      <c r="J46" s="402">
        <f t="shared" si="10"/>
      </c>
    </row>
    <row r="47" spans="1:10" ht="15">
      <c r="A47" s="389">
        <f>IF(AND(B47&gt;0,C47&gt;0,D47&gt;0),MAX($A$3:A46)+1,"")</f>
      </c>
      <c r="B47" s="387"/>
      <c r="C47" s="425"/>
      <c r="D47" s="424"/>
      <c r="E47" s="411">
        <f t="shared" si="5"/>
      </c>
      <c r="F47" s="400">
        <f t="shared" si="6"/>
      </c>
      <c r="G47" s="401">
        <f t="shared" si="7"/>
      </c>
      <c r="H47" s="402">
        <f t="shared" si="8"/>
      </c>
      <c r="I47" s="402">
        <f t="shared" si="9"/>
      </c>
      <c r="J47" s="402">
        <f t="shared" si="10"/>
      </c>
    </row>
    <row r="48" spans="1:10" ht="15">
      <c r="A48" s="389">
        <f>IF(AND(B48&gt;0,C48&gt;0,D48&gt;0),MAX($A$3:A47)+1,"")</f>
      </c>
      <c r="B48" s="387"/>
      <c r="C48" s="425"/>
      <c r="D48" s="424"/>
      <c r="E48" s="411">
        <f t="shared" si="5"/>
      </c>
      <c r="F48" s="400">
        <f t="shared" si="6"/>
      </c>
      <c r="G48" s="401">
        <f t="shared" si="7"/>
      </c>
      <c r="H48" s="402">
        <f t="shared" si="8"/>
      </c>
      <c r="I48" s="402">
        <f t="shared" si="9"/>
      </c>
      <c r="J48" s="402">
        <f t="shared" si="10"/>
      </c>
    </row>
    <row r="49" spans="1:10" ht="15">
      <c r="A49" s="389">
        <f>IF(AND(B49&gt;0,C49&gt;0,D49&gt;0),MAX($A$3:A48)+1,"")</f>
      </c>
      <c r="B49" s="387"/>
      <c r="C49" s="425"/>
      <c r="D49" s="424"/>
      <c r="E49" s="411">
        <f t="shared" si="5"/>
      </c>
      <c r="F49" s="400">
        <f t="shared" si="6"/>
      </c>
      <c r="G49" s="401">
        <f t="shared" si="7"/>
      </c>
      <c r="H49" s="402">
        <f t="shared" si="8"/>
      </c>
      <c r="I49" s="402">
        <f t="shared" si="9"/>
      </c>
      <c r="J49" s="402">
        <f t="shared" si="10"/>
      </c>
    </row>
    <row r="50" spans="1:10" ht="15">
      <c r="A50" s="389">
        <f>IF(AND(B50&gt;0,C50&gt;0,D50&gt;0),MAX($A$3:A49)+1,"")</f>
      </c>
      <c r="B50" s="388"/>
      <c r="C50" s="427"/>
      <c r="D50" s="428"/>
      <c r="E50" s="412">
        <f t="shared" si="5"/>
      </c>
      <c r="F50" s="400">
        <f>IF(AND(NOT(ISBLANK(C50)),NOT(ISBLANK(D50))),(C50/D50)*3600,"")</f>
      </c>
      <c r="G50" s="400">
        <f>IF(AND(NOT(ISBLANK(C50)),NOT(ISBLANK(D50))),ROUNDDOWN(MOD(K48/(24*3600),24),0),"")</f>
      </c>
      <c r="H50" s="410">
        <f>IF(AND(NOT(ISBLANK(C50)),NOT(ISBLANK(D50))),ROUNDDOWN(((MOD(K48/(24*3600),24)-L48)*24*3600)/3600,0),"")</f>
      </c>
      <c r="I50" s="410">
        <f>IF(AND(NOT(ISBLANK(C50)),NOT(ISBLANK(D50))),ROUNDDOWN(((((MOD(K48/(24*3600),24)-L48)*24*3600)/3600-ROUNDDOWN(((MOD(K48/(24*3600),24)-L48)*24*3600)/3600,0))*3600)/60,0),"")</f>
      </c>
      <c r="J50" s="410">
        <f>IF(AND(NOT(ISBLANK(C50)),NOT(ISBLANK(D50))),(((((MOD(K48/(24*3600),24)-L48)*24*3600)/3600-ROUNDDOWN(((MOD(K48/(24*3600),24)-L48)*24*3600)/3600,0))*3600)/60-ROUNDDOWN(((((MOD(K48/(24*3600),24)-L48)*24*3600)/3600-ROUNDDOWN(((MOD(K48/(24*3600),24)-L48)*24*3600)/3600,0))*3600)/60,0))*60,"")</f>
      </c>
    </row>
    <row r="51" spans="5:7" ht="15">
      <c r="E51" s="414"/>
      <c r="F51" s="415"/>
      <c r="G51" s="415"/>
    </row>
    <row r="52" spans="5:7" ht="15">
      <c r="E52" s="414"/>
      <c r="F52" s="415"/>
      <c r="G52" s="415"/>
    </row>
    <row r="53" spans="5:7" ht="15">
      <c r="E53" s="414"/>
      <c r="F53" s="415"/>
      <c r="G53" s="415"/>
    </row>
    <row r="54" spans="5:7" ht="15">
      <c r="E54" s="414"/>
      <c r="F54" s="415"/>
      <c r="G54" s="415"/>
    </row>
    <row r="55" spans="5:7" ht="15">
      <c r="E55" s="414"/>
      <c r="F55" s="415"/>
      <c r="G55" s="415"/>
    </row>
    <row r="56" ht="15">
      <c r="E56" s="414"/>
    </row>
  </sheetData>
  <sheetProtection password="89D9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145" zoomScaleNormal="145" zoomScalePageLayoutView="0" workbookViewId="0" topLeftCell="A1">
      <pane ySplit="3" topLeftCell="A5" activePane="bottomLeft" state="frozen"/>
      <selection pane="topLeft" activeCell="A1" sqref="A1"/>
      <selection pane="bottomLeft" activeCell="A21" sqref="A21"/>
    </sheetView>
  </sheetViews>
  <sheetFormatPr defaultColWidth="11.421875" defaultRowHeight="15"/>
  <cols>
    <col min="1" max="1" width="28.28125" style="258" customWidth="1"/>
    <col min="2" max="3" width="16.421875" style="259" customWidth="1"/>
    <col min="4" max="4" width="21.421875" style="260" bestFit="1" customWidth="1"/>
    <col min="5" max="5" width="12.8515625" style="261" bestFit="1" customWidth="1"/>
    <col min="6" max="6" width="7.00390625" style="261" bestFit="1" customWidth="1"/>
    <col min="7" max="7" width="8.421875" style="258" bestFit="1" customWidth="1"/>
    <col min="8" max="8" width="9.7109375" style="258" bestFit="1" customWidth="1"/>
    <col min="9" max="9" width="11.00390625" style="258" bestFit="1" customWidth="1"/>
    <col min="10" max="10" width="12.7109375" style="258" customWidth="1"/>
    <col min="11" max="16384" width="11.421875" style="258" customWidth="1"/>
  </cols>
  <sheetData>
    <row r="1" spans="1:15" s="262" customFormat="1" ht="15.75" customHeight="1">
      <c r="A1" s="266"/>
      <c r="B1" s="271" t="s">
        <v>180</v>
      </c>
      <c r="C1" s="271" t="s">
        <v>181</v>
      </c>
      <c r="D1" s="273" t="s">
        <v>186</v>
      </c>
      <c r="E1" s="263"/>
      <c r="F1" s="275" t="s">
        <v>182</v>
      </c>
      <c r="G1" s="275" t="s">
        <v>183</v>
      </c>
      <c r="H1" s="275" t="s">
        <v>184</v>
      </c>
      <c r="I1" s="275" t="s">
        <v>185</v>
      </c>
      <c r="J1" s="277"/>
      <c r="K1" s="277"/>
      <c r="L1" s="277"/>
      <c r="M1" s="277"/>
      <c r="N1" s="277"/>
      <c r="O1" s="277"/>
    </row>
    <row r="2" spans="1:15" ht="18" customHeight="1">
      <c r="A2" s="267" t="s">
        <v>179</v>
      </c>
      <c r="B2" s="272">
        <f>IF(SUM(B4:B50)&gt;0,SUM(B4:B50),"")</f>
        <v>1875.1</v>
      </c>
      <c r="C2" s="272">
        <f>B2/E2</f>
        <v>5.5530007694824635</v>
      </c>
      <c r="D2" s="268" t="str">
        <f>IF(AND(NOT(ISBLANK(B2)),NOT(ISBLANK(C2))),RIGHT(F2,2)&amp;" J : "&amp;RIGHT(G2,2)&amp;" H : "&amp;RIGHT(H2,2)&amp;" ' "&amp;LEFT(I2,5)&amp;" ""","")</f>
        <v>14 J : 1 H : 40 ' 23,81 "</v>
      </c>
      <c r="E2" s="264">
        <f>SUM(E4:E50)/3600</f>
        <v>337.6732829400919</v>
      </c>
      <c r="F2" s="429">
        <f>IF(AND(NOT(ISBLANK(B2)),NOT(ISBLANK(C2))),ROUNDDOWN(MOD((B2/C2)*3600/(24*3600),24),0),"")</f>
        <v>14</v>
      </c>
      <c r="G2" s="430">
        <f>IF(AND(NOT(ISBLANK(B2)),NOT(ISBLANK(C2))),ROUNDDOWN(((MOD((B2/C2)*3600/(24*3600),24)-F2)*24*3600)/3600,0),"")</f>
        <v>1</v>
      </c>
      <c r="H2" s="430">
        <f>IF(AND(NOT(ISBLANK(B2)),NOT(ISBLANK(C2))),ROUNDDOWN(((((MOD((B2/C2)*3600/(24*3600),24)-F2)*24*3600)/3600-ROUNDDOWN(((MOD((B2/C2)*3600/(24*3600),24)-F2)*24*3600)/3600,0))*3600)/60,0),"")</f>
        <v>40</v>
      </c>
      <c r="I2" s="274">
        <f>IF(AND(NOT(ISBLANK(B2)),NOT(ISBLANK(C2))),(((((MOD((B2/C2)*3600/(24*3600),24)-F2)*24*3600)/3600-ROUNDDOWN(((MOD((B2/C2)*3600/(24*3600),24)-F2)*24*3600)/3600,0))*3600)/60-ROUNDDOWN(((((MOD((B2/C2)*3600/(24*3600),24)-F2)*24*3600)/3600-ROUNDDOWN(((MOD((B2/C2)*3600/(24*3600),24)-F2)*24*3600)/3600,0))*3600)/60,0))*60,"")</f>
        <v>23.81858433087089</v>
      </c>
      <c r="J2" s="278"/>
      <c r="K2" s="279"/>
      <c r="L2" s="279"/>
      <c r="M2" s="279"/>
      <c r="N2" s="279"/>
      <c r="O2" s="278"/>
    </row>
    <row r="3" spans="1:9" ht="42" customHeight="1">
      <c r="A3" s="280" t="s">
        <v>177</v>
      </c>
      <c r="B3" s="281" t="s">
        <v>178</v>
      </c>
      <c r="C3" s="282" t="s">
        <v>176</v>
      </c>
      <c r="D3" s="283" t="s">
        <v>175</v>
      </c>
      <c r="G3" s="261"/>
      <c r="H3" s="261"/>
      <c r="I3" s="261"/>
    </row>
    <row r="4" spans="1:9" ht="15">
      <c r="A4" s="285" t="s">
        <v>187</v>
      </c>
      <c r="B4" s="286">
        <v>567</v>
      </c>
      <c r="C4" s="287">
        <v>4.87</v>
      </c>
      <c r="D4" s="284" t="str">
        <f>IF(AND(NOT(ISBLANK(B4)),NOT(ISBLANK(C4))),RIGHT(F4,2)&amp;" J : "&amp;RIGHT(G4,2)&amp;" H : "&amp;RIGHT(H4,2)&amp;" ' "&amp;LEFT(I4,5)&amp;" ""","")</f>
        <v>4 J : 20 H : 25 ' 37,57 "</v>
      </c>
      <c r="E4" s="264">
        <f>IF(AND(NOT(ISBLANK(B4)),NOT(ISBLANK(C4))),(B4/C4)*3600,"")</f>
        <v>419137.5770020534</v>
      </c>
      <c r="F4" s="429">
        <f>IF(AND(NOT(ISBLANK(B4)),NOT(ISBLANK(C4))),ROUNDDOWN(MOD((B4/C4)*3600/(24*3600),24),0),"")</f>
        <v>4</v>
      </c>
      <c r="G4" s="430">
        <f>IF(AND(NOT(ISBLANK(B4)),NOT(ISBLANK(C4))),ROUNDDOWN(((MOD((B4/C4)*3600/(24*3600),24)-F4)*24*3600)/3600,0),"")</f>
        <v>20</v>
      </c>
      <c r="H4" s="430">
        <f>IF(AND(NOT(ISBLANK(B4)),NOT(ISBLANK(C4))),ROUNDDOWN(((((MOD((B4/C4)*3600/(24*3600),24)-F4)*24*3600)/3600-ROUNDDOWN(((MOD((B4/C4)*3600/(24*3600),24)-F4)*24*3600)/3600,0))*3600)/60,0),"")</f>
        <v>25</v>
      </c>
      <c r="I4" s="274">
        <f>IF(AND(NOT(ISBLANK(B4)),NOT(ISBLANK(C4))),(((((MOD((B4/C4)*3600/(24*3600),24)-F4)*24*3600)/3600-ROUNDDOWN(((MOD((B4/C4)*3600/(24*3600),24)-F4)*24*3600)/3600,0))*3600)/60-ROUNDDOWN(((((MOD((B4/C4)*3600/(24*3600),24)-F4)*24*3600)/3600-ROUNDDOWN(((MOD((B4/C4)*3600/(24*3600),24)-F4)*24*3600)/3600,0))*3600)/60,0))*60,"")</f>
        <v>37.5770020533821</v>
      </c>
    </row>
    <row r="5" spans="1:9" ht="15">
      <c r="A5" s="300" t="s">
        <v>188</v>
      </c>
      <c r="B5" s="289">
        <v>388</v>
      </c>
      <c r="C5" s="290">
        <v>6.98</v>
      </c>
      <c r="D5" s="269" t="str">
        <f aca="true" t="shared" si="0" ref="D5:D50">IF(AND(NOT(ISBLANK(B5)),NOT(ISBLANK(C5))),RIGHT(F5,2)&amp;" J : "&amp;RIGHT(G5,2)&amp;" H : "&amp;RIGHT(H5,2)&amp;" ' "&amp;LEFT(I5,5)&amp;" ""","")</f>
        <v>2 J : 7 H : 35 ' 14,61 "</v>
      </c>
      <c r="E5" s="264">
        <f aca="true" t="shared" si="1" ref="E5:E50">IF(AND(NOT(ISBLANK(B5)),NOT(ISBLANK(C5))),(B5/C5)*3600,"")</f>
        <v>200114.61318051576</v>
      </c>
      <c r="F5" s="429">
        <f aca="true" t="shared" si="2" ref="F5:F49">IF(AND(NOT(ISBLANK(B5)),NOT(ISBLANK(C5))),ROUNDDOWN(MOD((B5/C5)*3600/(24*3600),24),0),"")</f>
        <v>2</v>
      </c>
      <c r="G5" s="430">
        <f aca="true" t="shared" si="3" ref="G5:G49">IF(AND(NOT(ISBLANK(B5)),NOT(ISBLANK(C5))),ROUNDDOWN(((MOD((B5/C5)*3600/(24*3600),24)-F5)*24*3600)/3600,0),"")</f>
        <v>7</v>
      </c>
      <c r="H5" s="430">
        <f aca="true" t="shared" si="4" ref="H5:H49">IF(AND(NOT(ISBLANK(B5)),NOT(ISBLANK(C5))),ROUNDDOWN(((((MOD((B5/C5)*3600/(24*3600),24)-F5)*24*3600)/3600-ROUNDDOWN(((MOD((B5/C5)*3600/(24*3600),24)-F5)*24*3600)/3600,0))*3600)/60,0),"")</f>
        <v>35</v>
      </c>
      <c r="I5" s="274">
        <f aca="true" t="shared" si="5" ref="I5:I49">IF(AND(NOT(ISBLANK(B5)),NOT(ISBLANK(C5))),(((((MOD((B5/C5)*3600/(24*3600),24)-F5)*24*3600)/3600-ROUNDDOWN(((MOD((B5/C5)*3600/(24*3600),24)-F5)*24*3600)/3600,0))*3600)/60-ROUNDDOWN(((((MOD((B5/C5)*3600/(24*3600),24)-F5)*24*3600)/3600-ROUNDDOWN(((MOD((B5/C5)*3600/(24*3600),24)-F5)*24*3600)/3600,0))*3600)/60,0))*60,"")</f>
        <v>14.61318051577507</v>
      </c>
    </row>
    <row r="6" spans="1:9" ht="15">
      <c r="A6" s="294" t="s">
        <v>220</v>
      </c>
      <c r="B6" s="289">
        <v>54</v>
      </c>
      <c r="C6" s="290">
        <v>5.6</v>
      </c>
      <c r="D6" s="269" t="str">
        <f t="shared" si="0"/>
        <v>0 J : 9 H : 38 ' 34,28 "</v>
      </c>
      <c r="E6" s="264">
        <f t="shared" si="1"/>
        <v>34714.28571428572</v>
      </c>
      <c r="F6" s="429">
        <f t="shared" si="2"/>
        <v>0</v>
      </c>
      <c r="G6" s="430">
        <f t="shared" si="3"/>
        <v>9</v>
      </c>
      <c r="H6" s="430">
        <f t="shared" si="4"/>
        <v>38</v>
      </c>
      <c r="I6" s="274">
        <f t="shared" si="5"/>
        <v>34.28571428571246</v>
      </c>
    </row>
    <row r="7" spans="1:9" ht="15">
      <c r="A7" s="294" t="s">
        <v>221</v>
      </c>
      <c r="B7" s="289">
        <v>68</v>
      </c>
      <c r="C7" s="290">
        <v>4.88</v>
      </c>
      <c r="D7" s="269" t="str">
        <f t="shared" si="0"/>
        <v>0 J : 13 H : 56 ' 3,934 "</v>
      </c>
      <c r="E7" s="264">
        <f t="shared" si="1"/>
        <v>50163.93442622951</v>
      </c>
      <c r="F7" s="429">
        <f t="shared" si="2"/>
        <v>0</v>
      </c>
      <c r="G7" s="430">
        <f t="shared" si="3"/>
        <v>13</v>
      </c>
      <c r="H7" s="430">
        <f t="shared" si="4"/>
        <v>56</v>
      </c>
      <c r="I7" s="274">
        <f t="shared" si="5"/>
        <v>3.934426229511132</v>
      </c>
    </row>
    <row r="8" spans="1:9" ht="15">
      <c r="A8" s="294" t="s">
        <v>234</v>
      </c>
      <c r="B8" s="292">
        <v>23.5</v>
      </c>
      <c r="C8" s="293">
        <v>4</v>
      </c>
      <c r="D8" s="269" t="str">
        <f t="shared" si="0"/>
        <v>0 J : 5 H : 52 ' 30 "</v>
      </c>
      <c r="E8" s="264">
        <f t="shared" si="1"/>
        <v>21150</v>
      </c>
      <c r="F8" s="429">
        <f t="shared" si="2"/>
        <v>0</v>
      </c>
      <c r="G8" s="430">
        <f t="shared" si="3"/>
        <v>5</v>
      </c>
      <c r="H8" s="430">
        <f t="shared" si="4"/>
        <v>52</v>
      </c>
      <c r="I8" s="274">
        <f t="shared" si="5"/>
        <v>30</v>
      </c>
    </row>
    <row r="9" spans="1:9" ht="15">
      <c r="A9" s="294" t="s">
        <v>235</v>
      </c>
      <c r="B9" s="292">
        <v>68</v>
      </c>
      <c r="C9" s="293">
        <v>6</v>
      </c>
      <c r="D9" s="269" t="str">
        <f t="shared" si="0"/>
        <v>0 J : 11 H : 19 ' 59,99 "</v>
      </c>
      <c r="E9" s="264">
        <f t="shared" si="1"/>
        <v>40800</v>
      </c>
      <c r="F9" s="429">
        <f t="shared" si="2"/>
        <v>0</v>
      </c>
      <c r="G9" s="430">
        <f t="shared" si="3"/>
        <v>11</v>
      </c>
      <c r="H9" s="430">
        <f t="shared" si="4"/>
        <v>19</v>
      </c>
      <c r="I9" s="274">
        <f t="shared" si="5"/>
        <v>59.99999999999574</v>
      </c>
    </row>
    <row r="10" spans="1:9" ht="15">
      <c r="A10" s="294" t="s">
        <v>236</v>
      </c>
      <c r="B10" s="292">
        <v>112</v>
      </c>
      <c r="C10" s="290">
        <v>7</v>
      </c>
      <c r="D10" s="269" t="str">
        <f t="shared" si="0"/>
        <v>0 J : 16 H : 0 ' 0 "</v>
      </c>
      <c r="E10" s="264">
        <f t="shared" si="1"/>
        <v>57600</v>
      </c>
      <c r="F10" s="429">
        <f t="shared" si="2"/>
        <v>0</v>
      </c>
      <c r="G10" s="430">
        <f t="shared" si="3"/>
        <v>16</v>
      </c>
      <c r="H10" s="430">
        <f t="shared" si="4"/>
        <v>0</v>
      </c>
      <c r="I10" s="274">
        <f t="shared" si="5"/>
        <v>0</v>
      </c>
    </row>
    <row r="11" spans="1:9" ht="15">
      <c r="A11" s="294" t="s">
        <v>237</v>
      </c>
      <c r="B11" s="292">
        <v>48.9</v>
      </c>
      <c r="C11" s="290">
        <v>6</v>
      </c>
      <c r="D11" s="269" t="str">
        <f t="shared" si="0"/>
        <v>0 J : 8 H : 9 ' 1,278 "</v>
      </c>
      <c r="E11" s="264">
        <f t="shared" si="1"/>
        <v>29340</v>
      </c>
      <c r="F11" s="429">
        <f t="shared" si="2"/>
        <v>0</v>
      </c>
      <c r="G11" s="430">
        <f t="shared" si="3"/>
        <v>8</v>
      </c>
      <c r="H11" s="430">
        <f t="shared" si="4"/>
        <v>9</v>
      </c>
      <c r="I11" s="274">
        <f t="shared" si="5"/>
        <v>1.2789769243681803E-12</v>
      </c>
    </row>
    <row r="12" spans="1:9" ht="15">
      <c r="A12" s="294" t="s">
        <v>238</v>
      </c>
      <c r="B12" s="292">
        <v>47.6</v>
      </c>
      <c r="C12" s="290">
        <v>5.25</v>
      </c>
      <c r="D12" s="269" t="str">
        <f t="shared" si="0"/>
        <v>0 J : 9 H : 3 ' 59,99 "</v>
      </c>
      <c r="E12" s="264">
        <f t="shared" si="1"/>
        <v>32640</v>
      </c>
      <c r="F12" s="429">
        <f t="shared" si="2"/>
        <v>0</v>
      </c>
      <c r="G12" s="430">
        <f t="shared" si="3"/>
        <v>9</v>
      </c>
      <c r="H12" s="430">
        <f t="shared" si="4"/>
        <v>3</v>
      </c>
      <c r="I12" s="274">
        <f t="shared" si="5"/>
        <v>59.99999999999915</v>
      </c>
    </row>
    <row r="13" spans="1:9" ht="15">
      <c r="A13" s="294" t="s">
        <v>239</v>
      </c>
      <c r="B13" s="289">
        <v>75</v>
      </c>
      <c r="C13" s="290">
        <v>3.8</v>
      </c>
      <c r="D13" s="269" t="str">
        <f t="shared" si="0"/>
        <v>0 J : 19 H : 44 ' 12,63 "</v>
      </c>
      <c r="E13" s="264">
        <f t="shared" si="1"/>
        <v>71052.63157894737</v>
      </c>
      <c r="F13" s="429">
        <f t="shared" si="2"/>
        <v>0</v>
      </c>
      <c r="G13" s="430">
        <f t="shared" si="3"/>
        <v>19</v>
      </c>
      <c r="H13" s="430">
        <f t="shared" si="4"/>
        <v>44</v>
      </c>
      <c r="I13" s="274">
        <f t="shared" si="5"/>
        <v>12.631578947379865</v>
      </c>
    </row>
    <row r="14" spans="1:9" ht="15">
      <c r="A14" s="294" t="s">
        <v>240</v>
      </c>
      <c r="B14" s="289">
        <v>130</v>
      </c>
      <c r="C14" s="290">
        <v>4.89</v>
      </c>
      <c r="D14" s="269" t="str">
        <f t="shared" si="0"/>
        <v>1 J : 2 H : 35 ' 5,521 "</v>
      </c>
      <c r="E14" s="264">
        <f t="shared" si="1"/>
        <v>95705.52147239263</v>
      </c>
      <c r="F14" s="429">
        <f t="shared" si="2"/>
        <v>1</v>
      </c>
      <c r="G14" s="430">
        <f t="shared" si="3"/>
        <v>2</v>
      </c>
      <c r="H14" s="430">
        <f t="shared" si="4"/>
        <v>35</v>
      </c>
      <c r="I14" s="274">
        <f t="shared" si="5"/>
        <v>5.521472392633342</v>
      </c>
    </row>
    <row r="15" spans="1:9" ht="15">
      <c r="A15" s="294" t="s">
        <v>241</v>
      </c>
      <c r="B15" s="292">
        <v>89</v>
      </c>
      <c r="C15" s="293">
        <v>5.5</v>
      </c>
      <c r="D15" s="269" t="str">
        <f t="shared" si="0"/>
        <v>0 J : 16 H : 10 ' 54,54 "</v>
      </c>
      <c r="E15" s="264">
        <f t="shared" si="1"/>
        <v>58254.54545454546</v>
      </c>
      <c r="F15" s="429">
        <f t="shared" si="2"/>
        <v>0</v>
      </c>
      <c r="G15" s="430">
        <f t="shared" si="3"/>
        <v>16</v>
      </c>
      <c r="H15" s="430">
        <f t="shared" si="4"/>
        <v>10</v>
      </c>
      <c r="I15" s="274">
        <f t="shared" si="5"/>
        <v>54.545454545460466</v>
      </c>
    </row>
    <row r="16" spans="1:9" ht="15">
      <c r="A16" s="294" t="s">
        <v>242</v>
      </c>
      <c r="B16" s="292">
        <v>57</v>
      </c>
      <c r="C16" s="293">
        <v>7</v>
      </c>
      <c r="D16" s="269" t="str">
        <f t="shared" si="0"/>
        <v>0 J : 8 H : 8 ' 34,28 "</v>
      </c>
      <c r="E16" s="264">
        <f t="shared" si="1"/>
        <v>29314.285714285714</v>
      </c>
      <c r="F16" s="429">
        <f t="shared" si="2"/>
        <v>0</v>
      </c>
      <c r="G16" s="430">
        <f t="shared" si="3"/>
        <v>8</v>
      </c>
      <c r="H16" s="430">
        <f t="shared" si="4"/>
        <v>8</v>
      </c>
      <c r="I16" s="274">
        <f t="shared" si="5"/>
        <v>34.28571428571235</v>
      </c>
    </row>
    <row r="17" spans="1:9" ht="15">
      <c r="A17" s="294" t="s">
        <v>243</v>
      </c>
      <c r="B17" s="292">
        <v>73</v>
      </c>
      <c r="C17" s="293">
        <v>8</v>
      </c>
      <c r="D17" s="269" t="str">
        <f t="shared" si="0"/>
        <v>0 J : 9 H : 7 ' 30 "</v>
      </c>
      <c r="E17" s="264">
        <f t="shared" si="1"/>
        <v>32850</v>
      </c>
      <c r="F17" s="429">
        <f t="shared" si="2"/>
        <v>0</v>
      </c>
      <c r="G17" s="430">
        <f t="shared" si="3"/>
        <v>9</v>
      </c>
      <c r="H17" s="430">
        <f t="shared" si="4"/>
        <v>7</v>
      </c>
      <c r="I17" s="274">
        <f t="shared" si="5"/>
        <v>30</v>
      </c>
    </row>
    <row r="18" spans="1:9" ht="15">
      <c r="A18" s="294" t="s">
        <v>244</v>
      </c>
      <c r="B18" s="292">
        <v>36.8</v>
      </c>
      <c r="C18" s="293">
        <v>7.7</v>
      </c>
      <c r="D18" s="269" t="str">
        <f t="shared" si="0"/>
        <v>0 J : 4 H : 46 ' 45,19 "</v>
      </c>
      <c r="E18" s="264">
        <f t="shared" si="1"/>
        <v>17205.194805194806</v>
      </c>
      <c r="F18" s="429">
        <f t="shared" si="2"/>
        <v>0</v>
      </c>
      <c r="G18" s="430">
        <f t="shared" si="3"/>
        <v>4</v>
      </c>
      <c r="H18" s="430">
        <f t="shared" si="4"/>
        <v>46</v>
      </c>
      <c r="I18" s="274">
        <f t="shared" si="5"/>
        <v>45.19480519480496</v>
      </c>
    </row>
    <row r="19" spans="1:9" ht="15">
      <c r="A19" s="294" t="s">
        <v>245</v>
      </c>
      <c r="B19" s="292">
        <v>25.3</v>
      </c>
      <c r="C19" s="293">
        <v>6.88</v>
      </c>
      <c r="D19" s="269" t="str">
        <f t="shared" si="0"/>
        <v>0 J : 3 H : 40 ' 38,37 "</v>
      </c>
      <c r="E19" s="264">
        <f t="shared" si="1"/>
        <v>13238.372093023256</v>
      </c>
      <c r="F19" s="429">
        <f t="shared" si="2"/>
        <v>0</v>
      </c>
      <c r="G19" s="430">
        <f t="shared" si="3"/>
        <v>3</v>
      </c>
      <c r="H19" s="430">
        <f t="shared" si="4"/>
        <v>40</v>
      </c>
      <c r="I19" s="274">
        <f t="shared" si="5"/>
        <v>38.37209302325434</v>
      </c>
    </row>
    <row r="20" spans="1:9" ht="15">
      <c r="A20" s="294" t="s">
        <v>246</v>
      </c>
      <c r="B20" s="292">
        <v>12</v>
      </c>
      <c r="C20" s="293">
        <v>3.5</v>
      </c>
      <c r="D20" s="269" t="str">
        <f t="shared" si="0"/>
        <v>0 J : 3 H : 25 ' 42,85 "</v>
      </c>
      <c r="E20" s="264">
        <f t="shared" si="1"/>
        <v>12342.857142857141</v>
      </c>
      <c r="F20" s="429">
        <f t="shared" si="2"/>
        <v>0</v>
      </c>
      <c r="G20" s="430">
        <f t="shared" si="3"/>
        <v>3</v>
      </c>
      <c r="H20" s="430">
        <f t="shared" si="4"/>
        <v>25</v>
      </c>
      <c r="I20" s="274">
        <f t="shared" si="5"/>
        <v>42.85714285714057</v>
      </c>
    </row>
    <row r="21" spans="1:9" ht="15">
      <c r="A21" s="291"/>
      <c r="B21" s="292"/>
      <c r="C21" s="293"/>
      <c r="D21" s="269">
        <f t="shared" si="0"/>
      </c>
      <c r="E21" s="264">
        <f t="shared" si="1"/>
      </c>
      <c r="F21" s="429">
        <f t="shared" si="2"/>
      </c>
      <c r="G21" s="430">
        <f t="shared" si="3"/>
      </c>
      <c r="H21" s="430">
        <f t="shared" si="4"/>
      </c>
      <c r="I21" s="274">
        <f t="shared" si="5"/>
      </c>
    </row>
    <row r="22" spans="1:9" ht="15">
      <c r="A22" s="291"/>
      <c r="B22" s="292"/>
      <c r="C22" s="293"/>
      <c r="D22" s="269">
        <f t="shared" si="0"/>
      </c>
      <c r="E22" s="264">
        <f t="shared" si="1"/>
      </c>
      <c r="F22" s="429">
        <f t="shared" si="2"/>
      </c>
      <c r="G22" s="430">
        <f t="shared" si="3"/>
      </c>
      <c r="H22" s="430">
        <f t="shared" si="4"/>
      </c>
      <c r="I22" s="274">
        <f t="shared" si="5"/>
      </c>
    </row>
    <row r="23" spans="1:9" ht="15">
      <c r="A23" s="295"/>
      <c r="B23" s="292"/>
      <c r="C23" s="293"/>
      <c r="D23" s="269">
        <f t="shared" si="0"/>
      </c>
      <c r="E23" s="264">
        <f t="shared" si="1"/>
      </c>
      <c r="F23" s="429">
        <f t="shared" si="2"/>
      </c>
      <c r="G23" s="430">
        <f t="shared" si="3"/>
      </c>
      <c r="H23" s="430">
        <f t="shared" si="4"/>
      </c>
      <c r="I23" s="274">
        <f t="shared" si="5"/>
      </c>
    </row>
    <row r="24" spans="1:9" ht="15">
      <c r="A24" s="288"/>
      <c r="B24" s="292"/>
      <c r="C24" s="293"/>
      <c r="D24" s="269">
        <f t="shared" si="0"/>
      </c>
      <c r="E24" s="264">
        <f t="shared" si="1"/>
      </c>
      <c r="F24" s="429">
        <f t="shared" si="2"/>
      </c>
      <c r="G24" s="430">
        <f t="shared" si="3"/>
      </c>
      <c r="H24" s="430">
        <f t="shared" si="4"/>
      </c>
      <c r="I24" s="274">
        <f t="shared" si="5"/>
      </c>
    </row>
    <row r="25" spans="1:9" ht="15">
      <c r="A25" s="296"/>
      <c r="B25" s="292"/>
      <c r="C25" s="293"/>
      <c r="D25" s="269">
        <f t="shared" si="0"/>
      </c>
      <c r="E25" s="264">
        <f t="shared" si="1"/>
      </c>
      <c r="F25" s="429">
        <f t="shared" si="2"/>
      </c>
      <c r="G25" s="430">
        <f t="shared" si="3"/>
      </c>
      <c r="H25" s="430">
        <f t="shared" si="4"/>
      </c>
      <c r="I25" s="274">
        <f t="shared" si="5"/>
      </c>
    </row>
    <row r="26" spans="1:9" ht="15">
      <c r="A26" s="296"/>
      <c r="B26" s="292"/>
      <c r="C26" s="293"/>
      <c r="D26" s="269">
        <f t="shared" si="0"/>
      </c>
      <c r="E26" s="264">
        <f t="shared" si="1"/>
      </c>
      <c r="F26" s="429">
        <f t="shared" si="2"/>
      </c>
      <c r="G26" s="430">
        <f t="shared" si="3"/>
      </c>
      <c r="H26" s="430">
        <f t="shared" si="4"/>
      </c>
      <c r="I26" s="274">
        <f t="shared" si="5"/>
      </c>
    </row>
    <row r="27" spans="1:9" ht="15">
      <c r="A27" s="296"/>
      <c r="B27" s="292"/>
      <c r="C27" s="293"/>
      <c r="D27" s="269">
        <f t="shared" si="0"/>
      </c>
      <c r="E27" s="264">
        <f t="shared" si="1"/>
      </c>
      <c r="F27" s="429">
        <f t="shared" si="2"/>
      </c>
      <c r="G27" s="430">
        <f t="shared" si="3"/>
      </c>
      <c r="H27" s="430">
        <f t="shared" si="4"/>
      </c>
      <c r="I27" s="274">
        <f t="shared" si="5"/>
      </c>
    </row>
    <row r="28" spans="1:9" ht="15">
      <c r="A28" s="296"/>
      <c r="B28" s="292"/>
      <c r="C28" s="293"/>
      <c r="D28" s="269">
        <f t="shared" si="0"/>
      </c>
      <c r="E28" s="264">
        <f t="shared" si="1"/>
      </c>
      <c r="F28" s="429">
        <f t="shared" si="2"/>
      </c>
      <c r="G28" s="430">
        <f t="shared" si="3"/>
      </c>
      <c r="H28" s="430">
        <f t="shared" si="4"/>
      </c>
      <c r="I28" s="274">
        <f t="shared" si="5"/>
      </c>
    </row>
    <row r="29" spans="1:9" ht="15">
      <c r="A29" s="296"/>
      <c r="B29" s="292"/>
      <c r="C29" s="293"/>
      <c r="D29" s="269">
        <f t="shared" si="0"/>
      </c>
      <c r="E29" s="264">
        <f t="shared" si="1"/>
      </c>
      <c r="F29" s="429">
        <f t="shared" si="2"/>
      </c>
      <c r="G29" s="430">
        <f t="shared" si="3"/>
      </c>
      <c r="H29" s="430">
        <f t="shared" si="4"/>
      </c>
      <c r="I29" s="274">
        <f t="shared" si="5"/>
      </c>
    </row>
    <row r="30" spans="1:9" ht="15">
      <c r="A30" s="296"/>
      <c r="B30" s="292"/>
      <c r="C30" s="293"/>
      <c r="D30" s="269">
        <f t="shared" si="0"/>
      </c>
      <c r="E30" s="264">
        <f t="shared" si="1"/>
      </c>
      <c r="F30" s="429">
        <f t="shared" si="2"/>
      </c>
      <c r="G30" s="430">
        <f t="shared" si="3"/>
      </c>
      <c r="H30" s="430">
        <f t="shared" si="4"/>
      </c>
      <c r="I30" s="274">
        <f t="shared" si="5"/>
      </c>
    </row>
    <row r="31" spans="1:9" ht="15">
      <c r="A31" s="296"/>
      <c r="B31" s="292"/>
      <c r="C31" s="293"/>
      <c r="D31" s="269">
        <f t="shared" si="0"/>
      </c>
      <c r="E31" s="264">
        <f t="shared" si="1"/>
      </c>
      <c r="F31" s="429">
        <f t="shared" si="2"/>
      </c>
      <c r="G31" s="430">
        <f t="shared" si="3"/>
      </c>
      <c r="H31" s="430">
        <f t="shared" si="4"/>
      </c>
      <c r="I31" s="274">
        <f t="shared" si="5"/>
      </c>
    </row>
    <row r="32" spans="1:9" ht="15">
      <c r="A32" s="296"/>
      <c r="B32" s="292"/>
      <c r="C32" s="293"/>
      <c r="D32" s="269">
        <f t="shared" si="0"/>
      </c>
      <c r="E32" s="264">
        <f t="shared" si="1"/>
      </c>
      <c r="F32" s="429">
        <f t="shared" si="2"/>
      </c>
      <c r="G32" s="430">
        <f t="shared" si="3"/>
      </c>
      <c r="H32" s="430">
        <f t="shared" si="4"/>
      </c>
      <c r="I32" s="274">
        <f t="shared" si="5"/>
      </c>
    </row>
    <row r="33" spans="1:9" ht="15">
      <c r="A33" s="296"/>
      <c r="B33" s="292"/>
      <c r="C33" s="293"/>
      <c r="D33" s="269">
        <f t="shared" si="0"/>
      </c>
      <c r="E33" s="264">
        <f t="shared" si="1"/>
      </c>
      <c r="F33" s="429">
        <f t="shared" si="2"/>
      </c>
      <c r="G33" s="430">
        <f t="shared" si="3"/>
      </c>
      <c r="H33" s="430">
        <f t="shared" si="4"/>
      </c>
      <c r="I33" s="274">
        <f t="shared" si="5"/>
      </c>
    </row>
    <row r="34" spans="1:9" ht="15">
      <c r="A34" s="296"/>
      <c r="B34" s="292"/>
      <c r="C34" s="293"/>
      <c r="D34" s="269">
        <f t="shared" si="0"/>
      </c>
      <c r="E34" s="264">
        <f t="shared" si="1"/>
      </c>
      <c r="F34" s="429">
        <f t="shared" si="2"/>
      </c>
      <c r="G34" s="430">
        <f t="shared" si="3"/>
      </c>
      <c r="H34" s="430">
        <f t="shared" si="4"/>
      </c>
      <c r="I34" s="274">
        <f t="shared" si="5"/>
      </c>
    </row>
    <row r="35" spans="1:9" ht="15">
      <c r="A35" s="296"/>
      <c r="B35" s="292"/>
      <c r="C35" s="293"/>
      <c r="D35" s="269">
        <f t="shared" si="0"/>
      </c>
      <c r="E35" s="264">
        <f t="shared" si="1"/>
      </c>
      <c r="F35" s="429">
        <f t="shared" si="2"/>
      </c>
      <c r="G35" s="430">
        <f t="shared" si="3"/>
      </c>
      <c r="H35" s="430">
        <f t="shared" si="4"/>
      </c>
      <c r="I35" s="274">
        <f t="shared" si="5"/>
      </c>
    </row>
    <row r="36" spans="1:9" ht="15">
      <c r="A36" s="296"/>
      <c r="B36" s="292"/>
      <c r="C36" s="293"/>
      <c r="D36" s="269">
        <f t="shared" si="0"/>
      </c>
      <c r="E36" s="264">
        <f t="shared" si="1"/>
      </c>
      <c r="F36" s="429">
        <f t="shared" si="2"/>
      </c>
      <c r="G36" s="430">
        <f t="shared" si="3"/>
      </c>
      <c r="H36" s="430">
        <f t="shared" si="4"/>
      </c>
      <c r="I36" s="274">
        <f t="shared" si="5"/>
      </c>
    </row>
    <row r="37" spans="1:9" ht="15">
      <c r="A37" s="296"/>
      <c r="B37" s="292"/>
      <c r="C37" s="293"/>
      <c r="D37" s="269">
        <f t="shared" si="0"/>
      </c>
      <c r="E37" s="264">
        <f t="shared" si="1"/>
      </c>
      <c r="F37" s="429">
        <f t="shared" si="2"/>
      </c>
      <c r="G37" s="430">
        <f t="shared" si="3"/>
      </c>
      <c r="H37" s="430">
        <f t="shared" si="4"/>
      </c>
      <c r="I37" s="274">
        <f t="shared" si="5"/>
      </c>
    </row>
    <row r="38" spans="1:9" ht="15">
      <c r="A38" s="296"/>
      <c r="B38" s="292"/>
      <c r="C38" s="293"/>
      <c r="D38" s="269">
        <f t="shared" si="0"/>
      </c>
      <c r="E38" s="264">
        <f t="shared" si="1"/>
      </c>
      <c r="F38" s="429">
        <f t="shared" si="2"/>
      </c>
      <c r="G38" s="430">
        <f t="shared" si="3"/>
      </c>
      <c r="H38" s="430">
        <f t="shared" si="4"/>
      </c>
      <c r="I38" s="274">
        <f t="shared" si="5"/>
      </c>
    </row>
    <row r="39" spans="1:9" ht="15">
      <c r="A39" s="296"/>
      <c r="B39" s="292"/>
      <c r="C39" s="293"/>
      <c r="D39" s="269">
        <f t="shared" si="0"/>
      </c>
      <c r="E39" s="264">
        <f t="shared" si="1"/>
      </c>
      <c r="F39" s="429">
        <f t="shared" si="2"/>
      </c>
      <c r="G39" s="430">
        <f t="shared" si="3"/>
      </c>
      <c r="H39" s="430">
        <f t="shared" si="4"/>
      </c>
      <c r="I39" s="274">
        <f t="shared" si="5"/>
      </c>
    </row>
    <row r="40" spans="1:9" ht="15">
      <c r="A40" s="296"/>
      <c r="B40" s="292"/>
      <c r="C40" s="293"/>
      <c r="D40" s="269">
        <f t="shared" si="0"/>
      </c>
      <c r="E40" s="264">
        <f t="shared" si="1"/>
      </c>
      <c r="F40" s="429">
        <f t="shared" si="2"/>
      </c>
      <c r="G40" s="430">
        <f t="shared" si="3"/>
      </c>
      <c r="H40" s="430">
        <f t="shared" si="4"/>
      </c>
      <c r="I40" s="274">
        <f t="shared" si="5"/>
      </c>
    </row>
    <row r="41" spans="1:9" ht="15">
      <c r="A41" s="296"/>
      <c r="B41" s="289"/>
      <c r="C41" s="290"/>
      <c r="D41" s="269">
        <f t="shared" si="0"/>
      </c>
      <c r="E41" s="264">
        <f t="shared" si="1"/>
      </c>
      <c r="F41" s="429">
        <f t="shared" si="2"/>
      </c>
      <c r="G41" s="430">
        <f t="shared" si="3"/>
      </c>
      <c r="H41" s="430">
        <f t="shared" si="4"/>
      </c>
      <c r="I41" s="274">
        <f t="shared" si="5"/>
      </c>
    </row>
    <row r="42" spans="1:9" ht="15">
      <c r="A42" s="296"/>
      <c r="B42" s="289"/>
      <c r="C42" s="290"/>
      <c r="D42" s="269">
        <f t="shared" si="0"/>
      </c>
      <c r="E42" s="264">
        <f t="shared" si="1"/>
      </c>
      <c r="F42" s="429">
        <f t="shared" si="2"/>
      </c>
      <c r="G42" s="430">
        <f t="shared" si="3"/>
      </c>
      <c r="H42" s="430">
        <f t="shared" si="4"/>
      </c>
      <c r="I42" s="274">
        <f t="shared" si="5"/>
      </c>
    </row>
    <row r="43" spans="1:9" ht="15">
      <c r="A43" s="296"/>
      <c r="B43" s="289"/>
      <c r="C43" s="290"/>
      <c r="D43" s="269">
        <f t="shared" si="0"/>
      </c>
      <c r="E43" s="264">
        <f t="shared" si="1"/>
      </c>
      <c r="F43" s="429">
        <f t="shared" si="2"/>
      </c>
      <c r="G43" s="430">
        <f t="shared" si="3"/>
      </c>
      <c r="H43" s="430">
        <f t="shared" si="4"/>
      </c>
      <c r="I43" s="274">
        <f t="shared" si="5"/>
      </c>
    </row>
    <row r="44" spans="1:9" ht="15">
      <c r="A44" s="296"/>
      <c r="B44" s="289"/>
      <c r="C44" s="290"/>
      <c r="D44" s="269">
        <f t="shared" si="0"/>
      </c>
      <c r="E44" s="264">
        <f t="shared" si="1"/>
      </c>
      <c r="F44" s="429">
        <f t="shared" si="2"/>
      </c>
      <c r="G44" s="430">
        <f t="shared" si="3"/>
      </c>
      <c r="H44" s="430">
        <f t="shared" si="4"/>
      </c>
      <c r="I44" s="274">
        <f t="shared" si="5"/>
      </c>
    </row>
    <row r="45" spans="1:9" ht="15">
      <c r="A45" s="296"/>
      <c r="B45" s="289"/>
      <c r="C45" s="290"/>
      <c r="D45" s="269">
        <f t="shared" si="0"/>
      </c>
      <c r="E45" s="264">
        <f t="shared" si="1"/>
      </c>
      <c r="F45" s="429">
        <f t="shared" si="2"/>
      </c>
      <c r="G45" s="430">
        <f t="shared" si="3"/>
      </c>
      <c r="H45" s="430">
        <f t="shared" si="4"/>
      </c>
      <c r="I45" s="274">
        <f t="shared" si="5"/>
      </c>
    </row>
    <row r="46" spans="1:9" ht="15">
      <c r="A46" s="296"/>
      <c r="B46" s="289"/>
      <c r="C46" s="290"/>
      <c r="D46" s="269">
        <f t="shared" si="0"/>
      </c>
      <c r="E46" s="264">
        <f t="shared" si="1"/>
      </c>
      <c r="F46" s="429">
        <f t="shared" si="2"/>
      </c>
      <c r="G46" s="430">
        <f t="shared" si="3"/>
      </c>
      <c r="H46" s="430">
        <f t="shared" si="4"/>
      </c>
      <c r="I46" s="274">
        <f t="shared" si="5"/>
      </c>
    </row>
    <row r="47" spans="1:9" ht="15">
      <c r="A47" s="296"/>
      <c r="B47" s="289"/>
      <c r="C47" s="290"/>
      <c r="D47" s="269">
        <f t="shared" si="0"/>
      </c>
      <c r="E47" s="264">
        <f t="shared" si="1"/>
      </c>
      <c r="F47" s="429">
        <f t="shared" si="2"/>
      </c>
      <c r="G47" s="430">
        <f t="shared" si="3"/>
      </c>
      <c r="H47" s="430">
        <f t="shared" si="4"/>
      </c>
      <c r="I47" s="274">
        <f t="shared" si="5"/>
      </c>
    </row>
    <row r="48" spans="1:9" ht="15">
      <c r="A48" s="296"/>
      <c r="B48" s="289"/>
      <c r="C48" s="290"/>
      <c r="D48" s="269">
        <f t="shared" si="0"/>
      </c>
      <c r="E48" s="264">
        <f t="shared" si="1"/>
      </c>
      <c r="F48" s="429">
        <f t="shared" si="2"/>
      </c>
      <c r="G48" s="430">
        <f t="shared" si="3"/>
      </c>
      <c r="H48" s="430">
        <f t="shared" si="4"/>
      </c>
      <c r="I48" s="274">
        <f t="shared" si="5"/>
      </c>
    </row>
    <row r="49" spans="1:9" ht="15">
      <c r="A49" s="296"/>
      <c r="B49" s="289"/>
      <c r="C49" s="290"/>
      <c r="D49" s="269">
        <f t="shared" si="0"/>
      </c>
      <c r="E49" s="264">
        <f t="shared" si="1"/>
      </c>
      <c r="F49" s="429">
        <f t="shared" si="2"/>
      </c>
      <c r="G49" s="430">
        <f t="shared" si="3"/>
      </c>
      <c r="H49" s="430">
        <f t="shared" si="4"/>
      </c>
      <c r="I49" s="274">
        <f t="shared" si="5"/>
      </c>
    </row>
    <row r="50" spans="1:9" ht="15">
      <c r="A50" s="297"/>
      <c r="B50" s="298"/>
      <c r="C50" s="299"/>
      <c r="D50" s="270">
        <f t="shared" si="0"/>
      </c>
      <c r="E50" s="264">
        <f t="shared" si="1"/>
      </c>
      <c r="F50" s="429">
        <f>IF(AND(NOT(ISBLANK(B50)),NOT(ISBLANK(C50))),ROUNDDOWN(MOD(J48/(24*3600),24),0),"")</f>
      </c>
      <c r="G50" s="430">
        <f>IF(AND(NOT(ISBLANK(B50)),NOT(ISBLANK(C50))),ROUNDDOWN(((MOD(J48/(24*3600),24)-K48)*24*3600)/3600,0),"")</f>
      </c>
      <c r="H50" s="430">
        <f>IF(AND(NOT(ISBLANK(B50)),NOT(ISBLANK(C50))),ROUNDDOWN(((((MOD(J48/(24*3600),24)-K48)*24*3600)/3600-ROUNDDOWN(((MOD(J48/(24*3600),24)-K48)*24*3600)/3600,0))*3600)/60,0),"")</f>
      </c>
      <c r="I50" s="261">
        <f>IF(AND(NOT(ISBLANK(B50)),NOT(ISBLANK(C50))),(((((MOD(J48/(24*3600),24)-K48)*24*3600)/3600-ROUNDDOWN(((MOD(J48/(24*3600),24)-K48)*24*3600)/3600,0))*3600)/60-ROUNDDOWN(((((MOD(J48/(24*3600),24)-K48)*24*3600)/3600-ROUNDDOWN(((MOD(J48/(24*3600),24)-K48)*24*3600)/3600,0))*3600)/60,0))*60,"")</f>
      </c>
    </row>
    <row r="51" spans="4:6" ht="15">
      <c r="D51" s="276"/>
      <c r="E51" s="265"/>
      <c r="F51" s="265"/>
    </row>
    <row r="52" spans="4:6" ht="15">
      <c r="D52" s="276"/>
      <c r="E52" s="265"/>
      <c r="F52" s="265"/>
    </row>
    <row r="53" spans="4:6" ht="15">
      <c r="D53" s="276"/>
      <c r="E53" s="265"/>
      <c r="F53" s="265"/>
    </row>
    <row r="54" spans="4:6" ht="15">
      <c r="D54" s="276"/>
      <c r="E54" s="265"/>
      <c r="F54" s="265"/>
    </row>
    <row r="55" spans="4:6" ht="15">
      <c r="D55" s="276"/>
      <c r="E55" s="265"/>
      <c r="F55" s="265"/>
    </row>
    <row r="56" ht="15">
      <c r="D56" s="27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Q34"/>
  <sheetViews>
    <sheetView showGridLines="0" zoomScalePageLayoutView="0" workbookViewId="0" topLeftCell="A1">
      <selection activeCell="N12" sqref="N12"/>
    </sheetView>
  </sheetViews>
  <sheetFormatPr defaultColWidth="8.8515625" defaultRowHeight="15"/>
  <cols>
    <col min="1" max="1" width="8.8515625" style="0" customWidth="1"/>
    <col min="2" max="2" width="8.8515625" style="301" customWidth="1"/>
    <col min="3" max="3" width="12.00390625" style="0" bestFit="1" customWidth="1"/>
    <col min="4" max="4" width="1.8515625" style="314" customWidth="1"/>
    <col min="5" max="5" width="21.7109375" style="0" bestFit="1" customWidth="1"/>
    <col min="6" max="6" width="1.28515625" style="314" customWidth="1"/>
    <col min="7" max="7" width="12.7109375" style="0" bestFit="1" customWidth="1"/>
    <col min="8" max="8" width="2.421875" style="314" customWidth="1"/>
    <col min="9" max="9" width="33.140625" style="0" bestFit="1" customWidth="1"/>
    <col min="10" max="10" width="1.8515625" style="314" customWidth="1"/>
    <col min="11" max="11" width="18.8515625" style="0" bestFit="1" customWidth="1"/>
    <col min="12" max="13" width="13.7109375" style="0" bestFit="1" customWidth="1"/>
    <col min="14" max="14" width="8.8515625" style="0" customWidth="1"/>
    <col min="15" max="15" width="13.7109375" style="0" bestFit="1" customWidth="1"/>
  </cols>
  <sheetData>
    <row r="3" spans="2:11" ht="15">
      <c r="B3" s="307" t="s">
        <v>29</v>
      </c>
      <c r="C3" s="308">
        <f>(460^2+589^2)^0.5</f>
        <v>747.342625574107</v>
      </c>
      <c r="E3" s="330" t="s">
        <v>212</v>
      </c>
      <c r="G3" s="326">
        <f>-(C3^2-C4^2-C5^2)/(2*(C4*C5))</f>
        <v>-0.28865503553955507</v>
      </c>
      <c r="I3" s="320" t="s">
        <v>218</v>
      </c>
      <c r="K3" s="326">
        <f>(C4^2-C3^2-C5^2)/(2*(C3*C5))</f>
        <v>-0.7974341370951749</v>
      </c>
    </row>
    <row r="4" spans="2:11" ht="15">
      <c r="B4" s="309" t="s">
        <v>100</v>
      </c>
      <c r="C4" s="310">
        <v>471</v>
      </c>
      <c r="E4" s="331" t="s">
        <v>205</v>
      </c>
      <c r="G4" s="327">
        <f>G3</f>
        <v>-0.28865503553955507</v>
      </c>
      <c r="I4" s="321" t="s">
        <v>217</v>
      </c>
      <c r="K4" s="327">
        <f>-K3</f>
        <v>0.7974341370951749</v>
      </c>
    </row>
    <row r="5" spans="2:11" ht="15">
      <c r="B5" s="311" t="s">
        <v>197</v>
      </c>
      <c r="C5" s="312">
        <v>460</v>
      </c>
      <c r="E5" s="332" t="s">
        <v>200</v>
      </c>
      <c r="G5" s="328">
        <f>DEGREES(ACOS(-(C3^2-C4^2-C5^2)/(2*(C4*C5))))</f>
        <v>106.77745208715525</v>
      </c>
      <c r="I5" s="322" t="s">
        <v>203</v>
      </c>
      <c r="K5" s="328">
        <f>DEGREES(ACOS((-(C4^2-C3^2-C5^2)/(2*(C3*C5)))))</f>
        <v>37.114225649634015</v>
      </c>
    </row>
    <row r="6" spans="2:11" ht="15">
      <c r="B6" s="313"/>
      <c r="C6" s="314"/>
      <c r="E6" s="317"/>
      <c r="G6" s="319"/>
      <c r="I6" s="318"/>
      <c r="K6" s="319"/>
    </row>
    <row r="7" spans="2:11" ht="15">
      <c r="B7" s="313"/>
      <c r="C7" s="314"/>
      <c r="E7" s="330" t="s">
        <v>199</v>
      </c>
      <c r="G7" s="326">
        <f>-(C5^2-C3^2-C4^2)/(2*(C3*C4))</f>
        <v>0.8079042940771266</v>
      </c>
      <c r="I7" s="320" t="s">
        <v>194</v>
      </c>
      <c r="K7" s="326"/>
    </row>
    <row r="8" spans="2:11" ht="15">
      <c r="B8" s="313"/>
      <c r="C8" s="314"/>
      <c r="E8" s="331" t="s">
        <v>216</v>
      </c>
      <c r="G8" s="327">
        <f>G7</f>
        <v>0.8079042940771266</v>
      </c>
      <c r="I8" s="321" t="s">
        <v>193</v>
      </c>
      <c r="K8" s="327">
        <f>G5+K5+G9</f>
        <v>180</v>
      </c>
    </row>
    <row r="9" spans="2:17" ht="15">
      <c r="B9" s="313"/>
      <c r="C9" s="314"/>
      <c r="E9" s="332" t="s">
        <v>214</v>
      </c>
      <c r="G9" s="328">
        <f>DEGREES(ACOS(G8))</f>
        <v>36.108322263210724</v>
      </c>
      <c r="I9" s="322"/>
      <c r="K9" s="328"/>
      <c r="L9" s="302"/>
      <c r="M9" s="302"/>
      <c r="N9" s="302"/>
      <c r="O9" s="302"/>
      <c r="P9" s="302"/>
      <c r="Q9" s="302"/>
    </row>
    <row r="10" spans="2:17" ht="15">
      <c r="B10" s="313"/>
      <c r="C10" s="314"/>
      <c r="E10" s="317"/>
      <c r="G10" s="319"/>
      <c r="I10" s="318"/>
      <c r="K10" s="319"/>
      <c r="L10" s="302"/>
      <c r="M10" s="302"/>
      <c r="N10" s="302"/>
      <c r="O10" s="302"/>
      <c r="P10" s="302"/>
      <c r="Q10" s="302"/>
    </row>
    <row r="11" spans="2:17" ht="15">
      <c r="B11" s="313"/>
      <c r="C11" s="314"/>
      <c r="E11" s="317"/>
      <c r="G11" s="319"/>
      <c r="I11" s="318"/>
      <c r="K11" s="319"/>
      <c r="L11" s="302"/>
      <c r="M11" s="302"/>
      <c r="N11" s="302"/>
      <c r="O11" s="302"/>
      <c r="P11" s="302"/>
      <c r="Q11" s="302"/>
    </row>
    <row r="12" spans="2:17" ht="15">
      <c r="B12" s="315" t="s">
        <v>215</v>
      </c>
      <c r="C12" s="308"/>
      <c r="E12" s="330"/>
      <c r="G12" s="326">
        <f>C5/589</f>
        <v>0.7809847198641766</v>
      </c>
      <c r="I12" s="320"/>
      <c r="K12" s="326"/>
      <c r="L12" s="302"/>
      <c r="M12" s="302"/>
      <c r="N12" s="302"/>
      <c r="O12" s="302"/>
      <c r="P12" s="302"/>
      <c r="Q12" s="302"/>
    </row>
    <row r="13" spans="2:17" ht="15">
      <c r="B13" s="309" t="s">
        <v>192</v>
      </c>
      <c r="C13" s="310"/>
      <c r="E13" s="331"/>
      <c r="G13" s="327">
        <f>DEGREES(ATAN(G12))</f>
        <v>37.989292647626144</v>
      </c>
      <c r="I13" s="321"/>
      <c r="K13" s="327"/>
      <c r="L13" s="494" t="s">
        <v>214</v>
      </c>
      <c r="M13" s="302"/>
      <c r="N13" s="302"/>
      <c r="O13" s="302"/>
      <c r="P13" s="302"/>
      <c r="Q13" s="302"/>
    </row>
    <row r="14" spans="2:17" ht="15">
      <c r="B14" s="316" t="s">
        <v>213</v>
      </c>
      <c r="C14" s="312"/>
      <c r="E14" s="332"/>
      <c r="G14" s="334">
        <f>90-G13-K5</f>
        <v>14.896481702739841</v>
      </c>
      <c r="I14" s="322"/>
      <c r="K14" s="328"/>
      <c r="L14" s="494"/>
      <c r="M14" s="302"/>
      <c r="N14" s="302"/>
      <c r="O14" s="302"/>
      <c r="P14" s="302"/>
      <c r="Q14" s="302"/>
    </row>
    <row r="15" spans="2:17" ht="15">
      <c r="B15" s="313"/>
      <c r="C15" s="314"/>
      <c r="E15" s="317"/>
      <c r="G15" s="319"/>
      <c r="I15" s="318"/>
      <c r="K15" s="319"/>
      <c r="L15" s="494"/>
      <c r="M15" s="302"/>
      <c r="N15" s="302"/>
      <c r="O15" s="302"/>
      <c r="P15" s="302"/>
      <c r="Q15" s="302"/>
    </row>
    <row r="16" spans="2:17" ht="15">
      <c r="B16" s="313"/>
      <c r="C16" s="314"/>
      <c r="E16" s="317"/>
      <c r="G16" s="319"/>
      <c r="I16" s="318"/>
      <c r="K16" s="319"/>
      <c r="L16" s="302"/>
      <c r="M16" s="302"/>
      <c r="N16" s="302"/>
      <c r="O16" s="302"/>
      <c r="P16" s="302"/>
      <c r="Q16" s="302"/>
    </row>
    <row r="17" spans="2:17" ht="15">
      <c r="B17" s="307" t="s">
        <v>29</v>
      </c>
      <c r="C17" s="333">
        <v>707</v>
      </c>
      <c r="D17" s="335"/>
      <c r="E17" s="330" t="s">
        <v>212</v>
      </c>
      <c r="G17" s="326">
        <f>-(C17^2-C18^2-C19^2)/(2*(C18*C19))</f>
        <v>0.3930913385514465</v>
      </c>
      <c r="I17" s="320" t="s">
        <v>211</v>
      </c>
      <c r="K17" s="326">
        <f>(G19-G5)/2</f>
        <v>-19.962220438380776</v>
      </c>
      <c r="L17" s="302"/>
      <c r="M17" s="302"/>
      <c r="N17" s="303" t="s">
        <v>210</v>
      </c>
      <c r="O17" s="302"/>
      <c r="P17" s="302"/>
      <c r="Q17" s="302"/>
    </row>
    <row r="18" spans="2:17" ht="15">
      <c r="B18" s="309" t="s">
        <v>100</v>
      </c>
      <c r="C18" s="310">
        <v>460</v>
      </c>
      <c r="E18" s="331" t="s">
        <v>209</v>
      </c>
      <c r="G18" s="327">
        <f>G17</f>
        <v>0.3930913385514465</v>
      </c>
      <c r="I18" s="323"/>
      <c r="K18" s="327"/>
      <c r="L18" s="302"/>
      <c r="M18" s="302"/>
      <c r="N18" s="302"/>
      <c r="O18" s="302"/>
      <c r="P18" s="302"/>
      <c r="Q18" s="302"/>
    </row>
    <row r="19" spans="2:17" ht="15">
      <c r="B19" s="311" t="s">
        <v>197</v>
      </c>
      <c r="C19" s="312">
        <f>C3</f>
        <v>747.342625574107</v>
      </c>
      <c r="E19" s="332" t="s">
        <v>208</v>
      </c>
      <c r="G19" s="328">
        <f>DEGREES(ACOS(-(C17^2-C18^2-C19^2)/(2*(C18*C19))))</f>
        <v>66.8530112103937</v>
      </c>
      <c r="I19" s="324"/>
      <c r="K19" s="328"/>
      <c r="L19" s="302"/>
      <c r="M19" s="302"/>
      <c r="N19" s="302"/>
      <c r="O19" s="302"/>
      <c r="P19" s="302"/>
      <c r="Q19" s="302"/>
    </row>
    <row r="20" spans="2:17" ht="15">
      <c r="B20" s="313"/>
      <c r="C20" s="314"/>
      <c r="E20" s="317"/>
      <c r="G20" s="319"/>
      <c r="I20" s="314"/>
      <c r="K20" s="319"/>
      <c r="L20" s="302"/>
      <c r="M20" s="302"/>
      <c r="N20" s="302"/>
      <c r="O20" s="302"/>
      <c r="P20" s="302"/>
      <c r="Q20" s="302"/>
    </row>
    <row r="21" spans="2:17" ht="15">
      <c r="B21" s="313"/>
      <c r="C21" s="314"/>
      <c r="E21" s="317"/>
      <c r="G21" s="319"/>
      <c r="I21" s="314"/>
      <c r="K21" s="319"/>
      <c r="L21" s="302"/>
      <c r="M21" s="302"/>
      <c r="N21" s="302"/>
      <c r="O21" s="302"/>
      <c r="P21" s="302"/>
      <c r="Q21" s="302"/>
    </row>
    <row r="22" spans="2:17" ht="15">
      <c r="B22" s="307" t="s">
        <v>29</v>
      </c>
      <c r="C22" s="333">
        <v>707</v>
      </c>
      <c r="E22" s="330" t="s">
        <v>207</v>
      </c>
      <c r="G22" s="326">
        <f>-(C22^2-C23^2-C24^2)/(2*(C23*C24))</f>
        <v>0.3930913385514465</v>
      </c>
      <c r="I22" s="325" t="s">
        <v>206</v>
      </c>
      <c r="K22" s="326">
        <f>(C23^2-C22^2-C24^2)/(2*(C22*C24))</f>
        <v>-0.8013021355593235</v>
      </c>
      <c r="L22" s="302"/>
      <c r="M22" s="302"/>
      <c r="N22" s="302"/>
      <c r="O22" s="302"/>
      <c r="P22" s="302"/>
      <c r="Q22" s="302"/>
    </row>
    <row r="23" spans="2:17" ht="15">
      <c r="B23" s="309" t="s">
        <v>100</v>
      </c>
      <c r="C23" s="310">
        <v>460</v>
      </c>
      <c r="E23" s="331" t="s">
        <v>205</v>
      </c>
      <c r="G23" s="327">
        <f>G22</f>
        <v>0.3930913385514465</v>
      </c>
      <c r="I23" s="323" t="s">
        <v>204</v>
      </c>
      <c r="K23" s="327">
        <f>-K22</f>
        <v>0.8013021355593235</v>
      </c>
      <c r="L23" s="493" t="s">
        <v>203</v>
      </c>
      <c r="M23" s="302"/>
      <c r="N23" s="302"/>
      <c r="O23" s="302"/>
      <c r="P23" s="302"/>
      <c r="Q23" s="302"/>
    </row>
    <row r="24" spans="2:17" ht="15">
      <c r="B24" s="311" t="s">
        <v>197</v>
      </c>
      <c r="C24" s="312">
        <f>C3</f>
        <v>747.342625574107</v>
      </c>
      <c r="E24" s="332" t="s">
        <v>202</v>
      </c>
      <c r="G24" s="328">
        <f>DEGREES(ACOS(-(C22^2-C23^2-C24^2)/(2*(C23*C24))))</f>
        <v>66.8530112103937</v>
      </c>
      <c r="I24" s="324" t="s">
        <v>201</v>
      </c>
      <c r="K24" s="328">
        <f>DEGREES(ACOS((-(C23^2-C22^2-C24^2)/(2*(C22*C24)))))</f>
        <v>36.7453723344368</v>
      </c>
      <c r="L24" s="493"/>
      <c r="M24" s="302"/>
      <c r="N24" s="302"/>
      <c r="O24" s="302"/>
      <c r="P24" s="492" t="s">
        <v>200</v>
      </c>
      <c r="Q24" s="302"/>
    </row>
    <row r="25" spans="2:17" ht="15">
      <c r="B25" s="313"/>
      <c r="C25" s="314"/>
      <c r="E25" s="317"/>
      <c r="G25" s="319"/>
      <c r="I25" s="314"/>
      <c r="K25" s="319"/>
      <c r="L25" s="493"/>
      <c r="M25" s="302"/>
      <c r="N25" s="302"/>
      <c r="O25" s="302"/>
      <c r="P25" s="492"/>
      <c r="Q25" s="302"/>
    </row>
    <row r="26" spans="2:17" ht="15">
      <c r="B26" s="313"/>
      <c r="C26" s="314"/>
      <c r="E26" s="330" t="s">
        <v>199</v>
      </c>
      <c r="G26" s="326">
        <f>-(C24^2-C22^2-C23^2)/(2*(C22*C23))</f>
        <v>0.23511469159338294</v>
      </c>
      <c r="I26" s="325" t="s">
        <v>198</v>
      </c>
      <c r="K26" s="329">
        <f>(G24-K5)/2</f>
        <v>14.869392780379844</v>
      </c>
      <c r="L26" s="302"/>
      <c r="M26" s="302"/>
      <c r="N26" s="302" t="s">
        <v>197</v>
      </c>
      <c r="O26" s="302"/>
      <c r="P26" s="302"/>
      <c r="Q26" s="302"/>
    </row>
    <row r="27" spans="2:17" ht="15">
      <c r="B27" s="313"/>
      <c r="C27" s="314"/>
      <c r="E27" s="331" t="s">
        <v>196</v>
      </c>
      <c r="G27" s="327">
        <f>G26</f>
        <v>0.23511469159338294</v>
      </c>
      <c r="I27" s="323"/>
      <c r="K27" s="327"/>
      <c r="L27" s="302"/>
      <c r="M27" s="302"/>
      <c r="N27" s="302"/>
      <c r="O27" s="302"/>
      <c r="P27" s="302"/>
      <c r="Q27" s="302"/>
    </row>
    <row r="28" spans="2:17" ht="15">
      <c r="B28" s="313"/>
      <c r="C28" s="314"/>
      <c r="E28" s="331" t="s">
        <v>195</v>
      </c>
      <c r="G28" s="327">
        <f>DEGREES(ACOS(G27))</f>
        <v>76.40161645516949</v>
      </c>
      <c r="I28" s="336" t="s">
        <v>194</v>
      </c>
      <c r="J28" s="337"/>
      <c r="K28" s="338"/>
      <c r="L28" s="302"/>
      <c r="M28" s="302"/>
      <c r="N28" s="302"/>
      <c r="O28" s="302"/>
      <c r="P28" s="302"/>
      <c r="Q28" s="302"/>
    </row>
    <row r="29" spans="2:11" ht="15">
      <c r="B29" s="313"/>
      <c r="C29" s="314"/>
      <c r="E29" s="332"/>
      <c r="G29" s="328"/>
      <c r="I29" s="339" t="s">
        <v>219</v>
      </c>
      <c r="J29" s="340"/>
      <c r="K29" s="341" t="str">
        <f>G24+K24+G28&amp;"º"</f>
        <v>180º</v>
      </c>
    </row>
    <row r="30" spans="12:15" ht="5.25" customHeight="1">
      <c r="L30" s="306"/>
      <c r="M30" s="306"/>
      <c r="N30" s="306"/>
      <c r="O30" s="306"/>
    </row>
    <row r="31" spans="2:13" ht="18.75">
      <c r="B31" s="342" t="str">
        <f>"Déviation angulaire maximale de la barre conduite par le pilote RAYMARINE 1000+ : "&amp;(((G24-K5)/2*3600)/3600)-MOD(((G24-K5)/2*3600)/3600,2)&amp;"º "&amp;(MOD(((G24-K5)/2*3600)/3600,2))*60-MOD((MOD(((G24-K5)/2*3600)/3600,2))*60,2)&amp;"mn "&amp;ROUND(((MOD(((G24-K5)/2*3600)/3600,2))*60-((MOD(((G24-K5)/2*3600)/3600,2))*60-MOD((MOD(((G24-K5)/2*3600)/3600,2))*60,2)))*60,4)&amp;" sec"</f>
        <v>Déviation angulaire maximale de la barre conduite par le pilote RAYMARINE 1000+ : 14º 52mn 9,814 sec</v>
      </c>
      <c r="K31" s="304"/>
      <c r="L31" s="305"/>
      <c r="M31" s="304"/>
    </row>
    <row r="32" ht="15"/>
    <row r="33" ht="15"/>
    <row r="34" spans="11:15" ht="15">
      <c r="K34" s="304"/>
      <c r="L34" s="305"/>
      <c r="M34" s="304"/>
      <c r="O34" s="304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">
    <mergeCell ref="P24:P25"/>
    <mergeCell ref="L23:L25"/>
    <mergeCell ref="L13:L15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34"/>
  <sheetViews>
    <sheetView showGridLines="0" zoomScalePageLayoutView="0" workbookViewId="0" topLeftCell="A21">
      <selection activeCell="L37" sqref="L37"/>
    </sheetView>
  </sheetViews>
  <sheetFormatPr defaultColWidth="8.8515625" defaultRowHeight="15"/>
  <cols>
    <col min="1" max="1" width="8.8515625" style="0" customWidth="1"/>
    <col min="2" max="2" width="8.8515625" style="301" customWidth="1"/>
    <col min="3" max="3" width="12.00390625" style="0" bestFit="1" customWidth="1"/>
    <col min="4" max="4" width="1.8515625" style="314" customWidth="1"/>
    <col min="5" max="5" width="21.7109375" style="0" bestFit="1" customWidth="1"/>
    <col min="6" max="6" width="1.28515625" style="314" customWidth="1"/>
    <col min="7" max="7" width="12.7109375" style="0" bestFit="1" customWidth="1"/>
    <col min="8" max="8" width="2.421875" style="314" customWidth="1"/>
    <col min="9" max="9" width="33.140625" style="0" bestFit="1" customWidth="1"/>
    <col min="10" max="10" width="1.8515625" style="314" customWidth="1"/>
    <col min="11" max="11" width="18.8515625" style="0" bestFit="1" customWidth="1"/>
    <col min="12" max="13" width="13.7109375" style="0" bestFit="1" customWidth="1"/>
    <col min="14" max="14" width="8.8515625" style="0" customWidth="1"/>
    <col min="15" max="15" width="13.7109375" style="0" bestFit="1" customWidth="1"/>
  </cols>
  <sheetData>
    <row r="3" spans="2:11" ht="15">
      <c r="B3" s="307" t="s">
        <v>29</v>
      </c>
      <c r="C3" s="308">
        <f>(460^2+626^2)^0.5</f>
        <v>776.837177277195</v>
      </c>
      <c r="E3" s="330" t="s">
        <v>212</v>
      </c>
      <c r="G3" s="326">
        <f>-(C3^2-C4^2-C5^2)/(2*(C4*C5))</f>
        <v>-0.3112202666201972</v>
      </c>
      <c r="I3" s="320" t="s">
        <v>218</v>
      </c>
      <c r="K3" s="326">
        <f>(C4^2-C3^2-C5^2)/(2*(C3*C5))</f>
        <v>-0.7920564708296964</v>
      </c>
    </row>
    <row r="4" spans="2:11" ht="15">
      <c r="B4" s="309" t="s">
        <v>100</v>
      </c>
      <c r="C4" s="310">
        <f>626-127</f>
        <v>499</v>
      </c>
      <c r="E4" s="331" t="s">
        <v>205</v>
      </c>
      <c r="G4" s="327">
        <f>G3</f>
        <v>-0.3112202666201972</v>
      </c>
      <c r="I4" s="321" t="s">
        <v>217</v>
      </c>
      <c r="K4" s="327">
        <f>-K3</f>
        <v>0.7920564708296964</v>
      </c>
    </row>
    <row r="5" spans="2:11" ht="15">
      <c r="B5" s="311" t="s">
        <v>197</v>
      </c>
      <c r="C5" s="312">
        <v>460</v>
      </c>
      <c r="E5" s="332" t="s">
        <v>200</v>
      </c>
      <c r="G5" s="328">
        <f>DEGREES(ACOS(-(C3^2-C4^2-C5^2)/(2*(C4*C5))))</f>
        <v>108.13278481247644</v>
      </c>
      <c r="I5" s="322" t="s">
        <v>203</v>
      </c>
      <c r="K5" s="328">
        <f>DEGREES(ACOS((-(C4^2-C3^2-C5^2)/(2*(C3*C5)))))</f>
        <v>37.62189067374377</v>
      </c>
    </row>
    <row r="6" spans="2:11" ht="15">
      <c r="B6" s="313"/>
      <c r="C6" s="314"/>
      <c r="E6" s="317"/>
      <c r="G6" s="319"/>
      <c r="I6" s="318"/>
      <c r="K6" s="319"/>
    </row>
    <row r="7" spans="2:11" ht="15">
      <c r="B7" s="313"/>
      <c r="C7" s="314"/>
      <c r="E7" s="330" t="s">
        <v>199</v>
      </c>
      <c r="G7" s="326">
        <f>-(C5^2-C3^2-C4^2)/(2*(C3*C4))</f>
        <v>0.8266356727365423</v>
      </c>
      <c r="I7" s="320" t="s">
        <v>194</v>
      </c>
      <c r="K7" s="326"/>
    </row>
    <row r="8" spans="2:11" ht="15">
      <c r="B8" s="313"/>
      <c r="C8" s="314"/>
      <c r="E8" s="331" t="s">
        <v>216</v>
      </c>
      <c r="G8" s="327">
        <f>G7</f>
        <v>0.8266356727365423</v>
      </c>
      <c r="I8" s="321" t="s">
        <v>193</v>
      </c>
      <c r="K8" s="327">
        <f>G5+K5+G9</f>
        <v>180</v>
      </c>
    </row>
    <row r="9" spans="2:17" ht="15">
      <c r="B9" s="313"/>
      <c r="C9" s="314"/>
      <c r="E9" s="332" t="s">
        <v>214</v>
      </c>
      <c r="G9" s="328">
        <f>DEGREES(ACOS(G8))</f>
        <v>34.245324513779806</v>
      </c>
      <c r="I9" s="322"/>
      <c r="K9" s="328"/>
      <c r="L9" s="302"/>
      <c r="M9" s="302"/>
      <c r="N9" s="302"/>
      <c r="O9" s="302"/>
      <c r="P9" s="302"/>
      <c r="Q9" s="302"/>
    </row>
    <row r="10" spans="2:17" ht="15">
      <c r="B10" s="313"/>
      <c r="C10" s="314"/>
      <c r="E10" s="317"/>
      <c r="G10" s="319"/>
      <c r="I10" s="318"/>
      <c r="K10" s="319"/>
      <c r="L10" s="302"/>
      <c r="M10" s="302"/>
      <c r="N10" s="302"/>
      <c r="O10" s="302"/>
      <c r="P10" s="302"/>
      <c r="Q10" s="302"/>
    </row>
    <row r="11" spans="2:17" ht="15">
      <c r="B11" s="313"/>
      <c r="C11" s="314"/>
      <c r="E11" s="317"/>
      <c r="G11" s="319"/>
      <c r="I11" s="318"/>
      <c r="K11" s="319"/>
      <c r="L11" s="302"/>
      <c r="M11" s="302"/>
      <c r="N11" s="302"/>
      <c r="O11" s="302"/>
      <c r="P11" s="302"/>
      <c r="Q11" s="302"/>
    </row>
    <row r="12" spans="2:17" ht="15">
      <c r="B12" s="315" t="s">
        <v>215</v>
      </c>
      <c r="C12" s="308"/>
      <c r="E12" s="330"/>
      <c r="G12" s="326">
        <f>C5/589</f>
        <v>0.7809847198641766</v>
      </c>
      <c r="I12" s="320"/>
      <c r="K12" s="326"/>
      <c r="L12" s="302"/>
      <c r="M12" s="302"/>
      <c r="N12" s="302"/>
      <c r="O12" s="302"/>
      <c r="P12" s="302"/>
      <c r="Q12" s="302"/>
    </row>
    <row r="13" spans="2:17" ht="15">
      <c r="B13" s="309" t="s">
        <v>192</v>
      </c>
      <c r="C13" s="310"/>
      <c r="E13" s="331"/>
      <c r="G13" s="327">
        <f>DEGREES(ATAN(G12))</f>
        <v>37.989292647626144</v>
      </c>
      <c r="I13" s="321"/>
      <c r="K13" s="327"/>
      <c r="L13" s="494" t="s">
        <v>214</v>
      </c>
      <c r="M13" s="302"/>
      <c r="N13" s="302"/>
      <c r="O13" s="302"/>
      <c r="P13" s="302"/>
      <c r="Q13" s="302"/>
    </row>
    <row r="14" spans="2:17" ht="15">
      <c r="B14" s="316" t="s">
        <v>213</v>
      </c>
      <c r="C14" s="312"/>
      <c r="E14" s="332"/>
      <c r="G14" s="334">
        <f>90-G13-K5</f>
        <v>14.388816678630086</v>
      </c>
      <c r="I14" s="322"/>
      <c r="K14" s="328"/>
      <c r="L14" s="494"/>
      <c r="M14" s="302"/>
      <c r="N14" s="302"/>
      <c r="O14" s="302"/>
      <c r="P14" s="302"/>
      <c r="Q14" s="302"/>
    </row>
    <row r="15" spans="2:17" ht="15">
      <c r="B15" s="313"/>
      <c r="C15" s="314"/>
      <c r="E15" s="317"/>
      <c r="G15" s="319"/>
      <c r="I15" s="318"/>
      <c r="K15" s="319"/>
      <c r="L15" s="494"/>
      <c r="M15" s="302"/>
      <c r="N15" s="302"/>
      <c r="O15" s="302"/>
      <c r="P15" s="302"/>
      <c r="Q15" s="302"/>
    </row>
    <row r="16" spans="2:17" ht="15">
      <c r="B16" s="313"/>
      <c r="C16" s="314"/>
      <c r="E16" s="317"/>
      <c r="G16" s="319"/>
      <c r="I16" s="318"/>
      <c r="K16" s="319"/>
      <c r="L16" s="302"/>
      <c r="M16" s="302"/>
      <c r="N16" s="302"/>
      <c r="O16" s="302"/>
      <c r="P16" s="302"/>
      <c r="Q16" s="302"/>
    </row>
    <row r="17" spans="2:17" ht="15">
      <c r="B17" s="307" t="s">
        <v>29</v>
      </c>
      <c r="C17" s="333">
        <f>626+127</f>
        <v>753</v>
      </c>
      <c r="D17" s="335"/>
      <c r="E17" s="330" t="s">
        <v>212</v>
      </c>
      <c r="G17" s="326">
        <f>-(C17^2-C18^2-C19^2)/(2*(C18*C19))</f>
        <v>0.34709724426853394</v>
      </c>
      <c r="I17" s="320" t="s">
        <v>211</v>
      </c>
      <c r="K17" s="326">
        <f>(G19-G5)/2</f>
        <v>-19.221328424887865</v>
      </c>
      <c r="L17" s="302"/>
      <c r="M17" s="302"/>
      <c r="N17" s="303" t="s">
        <v>210</v>
      </c>
      <c r="O17" s="302"/>
      <c r="P17" s="302"/>
      <c r="Q17" s="302"/>
    </row>
    <row r="18" spans="2:17" ht="15">
      <c r="B18" s="309" t="s">
        <v>100</v>
      </c>
      <c r="C18" s="310">
        <v>460</v>
      </c>
      <c r="E18" s="331" t="s">
        <v>209</v>
      </c>
      <c r="G18" s="327">
        <f>G17</f>
        <v>0.34709724426853394</v>
      </c>
      <c r="I18" s="323"/>
      <c r="K18" s="327"/>
      <c r="L18" s="302"/>
      <c r="M18" s="302"/>
      <c r="N18" s="302"/>
      <c r="O18" s="302"/>
      <c r="P18" s="302"/>
      <c r="Q18" s="302"/>
    </row>
    <row r="19" spans="2:17" ht="15">
      <c r="B19" s="311" t="s">
        <v>197</v>
      </c>
      <c r="C19" s="312">
        <f>C3</f>
        <v>776.837177277195</v>
      </c>
      <c r="E19" s="332" t="s">
        <v>208</v>
      </c>
      <c r="G19" s="328">
        <f>DEGREES(ACOS(-(C17^2-C18^2-C19^2)/(2*(C18*C19))))</f>
        <v>69.69012796270071</v>
      </c>
      <c r="I19" s="324"/>
      <c r="K19" s="328"/>
      <c r="L19" s="302"/>
      <c r="M19" s="302"/>
      <c r="N19" s="302"/>
      <c r="O19" s="302"/>
      <c r="P19" s="302"/>
      <c r="Q19" s="302"/>
    </row>
    <row r="20" spans="2:17" ht="15">
      <c r="B20" s="313"/>
      <c r="C20" s="314"/>
      <c r="E20" s="317"/>
      <c r="G20" s="319"/>
      <c r="I20" s="314"/>
      <c r="K20" s="319"/>
      <c r="L20" s="302"/>
      <c r="M20" s="302"/>
      <c r="N20" s="302"/>
      <c r="O20" s="302"/>
      <c r="P20" s="302"/>
      <c r="Q20" s="302"/>
    </row>
    <row r="21" spans="2:17" ht="15">
      <c r="B21" s="313"/>
      <c r="C21" s="314"/>
      <c r="E21" s="317"/>
      <c r="G21" s="319"/>
      <c r="I21" s="314"/>
      <c r="K21" s="319"/>
      <c r="L21" s="302"/>
      <c r="M21" s="302"/>
      <c r="N21" s="302"/>
      <c r="O21" s="302"/>
      <c r="P21" s="302"/>
      <c r="Q21" s="302"/>
    </row>
    <row r="22" spans="2:17" ht="15">
      <c r="B22" s="307" t="s">
        <v>29</v>
      </c>
      <c r="C22" s="333">
        <f>626+127</f>
        <v>753</v>
      </c>
      <c r="E22" s="330" t="s">
        <v>207</v>
      </c>
      <c r="G22" s="326">
        <f>-(C22^2-C23^2-C24^2)/(2*(C23*C24))</f>
        <v>0.34709724426853394</v>
      </c>
      <c r="I22" s="325" t="s">
        <v>206</v>
      </c>
      <c r="K22" s="326">
        <f>(C23^2-C22^2-C24^2)/(2*(C22*C24))</f>
        <v>-0.8196181207352847</v>
      </c>
      <c r="L22" s="302"/>
      <c r="M22" s="302"/>
      <c r="N22" s="302"/>
      <c r="O22" s="302"/>
      <c r="P22" s="302"/>
      <c r="Q22" s="302"/>
    </row>
    <row r="23" spans="2:17" ht="15">
      <c r="B23" s="309" t="s">
        <v>100</v>
      </c>
      <c r="C23" s="310">
        <v>460</v>
      </c>
      <c r="E23" s="331" t="s">
        <v>205</v>
      </c>
      <c r="G23" s="327">
        <f>G22</f>
        <v>0.34709724426853394</v>
      </c>
      <c r="I23" s="323" t="s">
        <v>204</v>
      </c>
      <c r="K23" s="327">
        <f>-K22</f>
        <v>0.8196181207352847</v>
      </c>
      <c r="L23" s="493" t="s">
        <v>203</v>
      </c>
      <c r="M23" s="302"/>
      <c r="N23" s="302"/>
      <c r="O23" s="302"/>
      <c r="P23" s="302"/>
      <c r="Q23" s="302"/>
    </row>
    <row r="24" spans="2:17" ht="15">
      <c r="B24" s="311" t="s">
        <v>197</v>
      </c>
      <c r="C24" s="312">
        <f>C3</f>
        <v>776.837177277195</v>
      </c>
      <c r="E24" s="332" t="s">
        <v>202</v>
      </c>
      <c r="G24" s="328">
        <f>DEGREES(ACOS(-(C22^2-C23^2-C24^2)/(2*(C23*C24))))</f>
        <v>69.69012796270071</v>
      </c>
      <c r="I24" s="324" t="s">
        <v>201</v>
      </c>
      <c r="K24" s="328">
        <f>DEGREES(ACOS((-(C23^2-C22^2-C24^2)/(2*(C22*C24)))))</f>
        <v>34.953415573815604</v>
      </c>
      <c r="L24" s="493"/>
      <c r="M24" s="302"/>
      <c r="N24" s="302"/>
      <c r="O24" s="302"/>
      <c r="P24" s="492" t="s">
        <v>200</v>
      </c>
      <c r="Q24" s="302"/>
    </row>
    <row r="25" spans="2:17" ht="15">
      <c r="B25" s="313"/>
      <c r="C25" s="314"/>
      <c r="E25" s="317"/>
      <c r="G25" s="319"/>
      <c r="I25" s="314"/>
      <c r="K25" s="319"/>
      <c r="L25" s="493"/>
      <c r="M25" s="302"/>
      <c r="N25" s="302"/>
      <c r="O25" s="302"/>
      <c r="P25" s="492"/>
      <c r="Q25" s="302"/>
    </row>
    <row r="26" spans="2:17" ht="15">
      <c r="B26" s="313"/>
      <c r="C26" s="314"/>
      <c r="E26" s="330" t="s">
        <v>199</v>
      </c>
      <c r="G26" s="326">
        <f>-(C24^2-C22^2-C23^2)/(2*(C22*C23))</f>
        <v>0.2528047231364396</v>
      </c>
      <c r="I26" s="325" t="s">
        <v>198</v>
      </c>
      <c r="K26" s="329">
        <f>(G24-K5)/2</f>
        <v>16.034118644478472</v>
      </c>
      <c r="L26" s="302"/>
      <c r="M26" s="302"/>
      <c r="N26" s="302" t="s">
        <v>197</v>
      </c>
      <c r="O26" s="302"/>
      <c r="P26" s="302"/>
      <c r="Q26" s="302"/>
    </row>
    <row r="27" spans="2:17" ht="15">
      <c r="B27" s="313"/>
      <c r="C27" s="314"/>
      <c r="E27" s="331" t="s">
        <v>196</v>
      </c>
      <c r="G27" s="327">
        <f>G26</f>
        <v>0.2528047231364396</v>
      </c>
      <c r="I27" s="323"/>
      <c r="K27" s="327"/>
      <c r="L27" s="302"/>
      <c r="M27" s="302"/>
      <c r="N27" s="302"/>
      <c r="O27" s="302"/>
      <c r="P27" s="302"/>
      <c r="Q27" s="302"/>
    </row>
    <row r="28" spans="2:17" ht="15">
      <c r="B28" s="313"/>
      <c r="C28" s="314"/>
      <c r="E28" s="331" t="s">
        <v>195</v>
      </c>
      <c r="G28" s="327">
        <f>DEGREES(ACOS(G27))</f>
        <v>75.35645646348367</v>
      </c>
      <c r="I28" s="336" t="s">
        <v>194</v>
      </c>
      <c r="J28" s="337"/>
      <c r="K28" s="338"/>
      <c r="L28" s="302"/>
      <c r="M28" s="302"/>
      <c r="N28" s="302"/>
      <c r="O28" s="302"/>
      <c r="P28" s="302"/>
      <c r="Q28" s="302"/>
    </row>
    <row r="29" spans="2:11" ht="15">
      <c r="B29" s="313"/>
      <c r="C29" s="314"/>
      <c r="E29" s="332"/>
      <c r="G29" s="328"/>
      <c r="I29" s="339" t="s">
        <v>219</v>
      </c>
      <c r="J29" s="340"/>
      <c r="K29" s="341" t="str">
        <f>G24+K24+G28&amp;"º"</f>
        <v>180º</v>
      </c>
    </row>
    <row r="30" spans="12:15" ht="5.25" customHeight="1">
      <c r="L30" s="306"/>
      <c r="M30" s="306"/>
      <c r="N30" s="306"/>
      <c r="O30" s="306"/>
    </row>
    <row r="31" spans="2:13" ht="18.75">
      <c r="B31" s="342" t="str">
        <f>"Déviation angulaire maximale de la barre conduite par le pilote RAYMARINE SPXs Tiller: "&amp;(((G24-K5)/2*3600)/3600)-MOD(((G24-K5)/2*3600)/3600,2)&amp;"º "&amp;(MOD(((G24-K5)/2*3600)/3600,2))*60-MOD((MOD(((G24-K5)/2*3600)/3600,2))*60,2)&amp;"mn "&amp;ROUND(((MOD(((G24-K5)/2*3600)/3600,2))*60-((MOD(((G24-K5)/2*3600)/3600,2))*60-MOD((MOD(((G24-K5)/2*3600)/3600,2))*60,2)))*60,4)&amp;" sec"</f>
        <v>Déviation angulaire maximale de la barre conduite par le pilote RAYMARINE SPXs Tiller: 16º 2mn 2,8271 sec</v>
      </c>
      <c r="K31" s="304"/>
      <c r="L31" s="305"/>
      <c r="M31" s="304"/>
    </row>
    <row r="32" ht="15"/>
    <row r="33" ht="15"/>
    <row r="34" spans="11:15" ht="15">
      <c r="K34" s="304"/>
      <c r="L34" s="305"/>
      <c r="M34" s="304"/>
      <c r="O34" s="304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">
    <mergeCell ref="L13:L15"/>
    <mergeCell ref="L23:L25"/>
    <mergeCell ref="P24:P25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B26">
      <selection activeCell="P79" sqref="P79"/>
    </sheetView>
  </sheetViews>
  <sheetFormatPr defaultColWidth="8.8515625" defaultRowHeight="15"/>
  <sheetData>
    <row r="1" spans="1:24" ht="21.75" customHeight="1">
      <c r="A1" s="495" t="s">
        <v>167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 t="s">
        <v>168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4" ht="21.75" customHeight="1">
      <c r="A2" s="252" t="s">
        <v>162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21.75" customHeight="1">
      <c r="A3" s="252" t="s">
        <v>163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4" ht="21.75" customHeight="1">
      <c r="A4" s="252" t="s">
        <v>164</v>
      </c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21.75" customHeight="1">
      <c r="A5" s="252" t="s">
        <v>165</v>
      </c>
      <c r="C5" s="250"/>
      <c r="D5" s="250"/>
      <c r="E5" s="250"/>
      <c r="F5" s="250"/>
      <c r="G5" s="250"/>
      <c r="H5" s="250"/>
      <c r="I5" s="250"/>
      <c r="J5" s="250"/>
      <c r="K5" s="250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</row>
    <row r="6" ht="25.5">
      <c r="A6" s="252" t="s">
        <v>166</v>
      </c>
    </row>
    <row r="17" ht="15">
      <c r="AA17" s="249"/>
    </row>
    <row r="18" ht="15">
      <c r="AA18" s="249"/>
    </row>
    <row r="19" ht="15">
      <c r="AA19" s="249"/>
    </row>
    <row r="20" ht="15">
      <c r="AA20" s="249"/>
    </row>
    <row r="21" ht="15">
      <c r="AA21" s="253"/>
    </row>
    <row r="22" ht="15">
      <c r="AA22" s="256"/>
    </row>
    <row r="23" ht="15">
      <c r="AA23" s="254"/>
    </row>
    <row r="24" ht="15">
      <c r="AA24" s="256"/>
    </row>
    <row r="25" ht="15">
      <c r="AA25" s="254"/>
    </row>
    <row r="26" ht="15">
      <c r="AA26" s="255"/>
    </row>
    <row r="27" ht="15">
      <c r="AA27" s="253"/>
    </row>
    <row r="28" ht="15">
      <c r="AA28" s="253"/>
    </row>
    <row r="29" ht="15">
      <c r="AA29" s="256"/>
    </row>
    <row r="30" ht="15">
      <c r="AA30" s="254"/>
    </row>
  </sheetData>
  <sheetProtection/>
  <mergeCells count="2">
    <mergeCell ref="A1:K1"/>
    <mergeCell ref="L1:X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SAUDIOGER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jvilcot</dc:creator>
  <cp:keywords/>
  <dc:description/>
  <cp:lastModifiedBy>jvilcot</cp:lastModifiedBy>
  <dcterms:created xsi:type="dcterms:W3CDTF">2011-04-18T10:53:22Z</dcterms:created>
  <dcterms:modified xsi:type="dcterms:W3CDTF">2011-12-03T10:38:19Z</dcterms:modified>
  <cp:category/>
  <cp:version/>
  <cp:contentType/>
  <cp:contentStatus/>
</cp:coreProperties>
</file>