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05" windowWidth="11595" windowHeight="8190" activeTab="1"/>
  </bookViews>
  <sheets>
    <sheet name="Helice théorie" sheetId="1" r:id="rId1"/>
    <sheet name="PAS &amp; DIAMETRE" sheetId="2" r:id="rId2"/>
    <sheet name="Estimation des efforts" sheetId="3" r:id="rId3"/>
  </sheets>
  <definedNames/>
  <calcPr fullCalcOnLoad="1"/>
</workbook>
</file>

<file path=xl/comments2.xml><?xml version="1.0" encoding="utf-8"?>
<comments xmlns="http://schemas.openxmlformats.org/spreadsheetml/2006/main">
  <authors>
    <author> </author>
    <author>JPL</author>
  </authors>
  <commentList>
    <comment ref="B19" authorId="0">
      <text>
        <r>
          <rPr>
            <sz val="8"/>
            <rFont val="Tahoma"/>
            <family val="0"/>
          </rPr>
          <t xml:space="preserve">0,27 ou 0,28 pour 3 pales avec fa/f 0,52; VOLVO,VETUS,FRANCE-HELICE
</t>
        </r>
      </text>
    </comment>
    <comment ref="B20" authorId="0">
      <text>
        <r>
          <rPr>
            <sz val="8"/>
            <rFont val="Tahoma"/>
            <family val="0"/>
          </rPr>
          <t>Ajuster pour obtenir le pas réel du fournisseur</t>
        </r>
      </text>
    </comment>
    <comment ref="B13" authorId="1">
      <text>
        <r>
          <rPr>
            <sz val="8"/>
            <rFont val="Tahoma"/>
            <family val="2"/>
          </rPr>
          <t xml:space="preserve">Forcer pour ajuster au diamètre de l'hélice du fournisseur.
</t>
        </r>
        <r>
          <rPr>
            <sz val="8"/>
            <rFont val="Tahoma"/>
            <family val="0"/>
          </rPr>
          <t xml:space="preserve">
</t>
        </r>
      </text>
    </comment>
    <comment ref="B10" authorId="1">
      <text>
        <r>
          <rPr>
            <sz val="8"/>
            <rFont val="Tahoma"/>
            <family val="2"/>
          </rPr>
          <t>Généralement 0,95 fois la puissance nominale.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<sst xmlns="http://schemas.openxmlformats.org/spreadsheetml/2006/main" count="177" uniqueCount="119">
  <si>
    <t>Courbe de variation de la puissance</t>
  </si>
  <si>
    <t>Formule :</t>
  </si>
  <si>
    <t>V1 = C * V2</t>
  </si>
  <si>
    <t>C</t>
  </si>
  <si>
    <r>
      <t>V</t>
    </r>
    <r>
      <rPr>
        <sz val="8"/>
        <rFont val="Arial"/>
        <family val="2"/>
      </rPr>
      <t>1</t>
    </r>
    <r>
      <rPr>
        <sz val="10"/>
        <rFont val="Arial"/>
        <family val="0"/>
      </rPr>
      <t xml:space="preserve"> = V</t>
    </r>
    <r>
      <rPr>
        <sz val="8"/>
        <rFont val="Arial"/>
        <family val="2"/>
      </rPr>
      <t>2</t>
    </r>
    <r>
      <rPr>
        <sz val="10"/>
        <rFont val="Arial"/>
        <family val="0"/>
      </rPr>
      <t xml:space="preserve"> /3</t>
    </r>
  </si>
  <si>
    <r>
      <t>V</t>
    </r>
    <r>
      <rPr>
        <sz val="8"/>
        <rFont val="Arial"/>
        <family val="2"/>
      </rPr>
      <t>1</t>
    </r>
    <r>
      <rPr>
        <sz val="10"/>
        <rFont val="Arial"/>
        <family val="0"/>
      </rPr>
      <t xml:space="preserve"> = V</t>
    </r>
    <r>
      <rPr>
        <sz val="8"/>
        <rFont val="Arial"/>
        <family val="2"/>
      </rPr>
      <t>2</t>
    </r>
    <r>
      <rPr>
        <sz val="10"/>
        <rFont val="Arial"/>
        <family val="0"/>
      </rPr>
      <t xml:space="preserve"> /2</t>
    </r>
  </si>
  <si>
    <r>
      <t>V</t>
    </r>
    <r>
      <rPr>
        <sz val="8"/>
        <rFont val="Arial"/>
        <family val="2"/>
      </rPr>
      <t>1</t>
    </r>
    <r>
      <rPr>
        <sz val="10"/>
        <rFont val="Arial"/>
        <family val="0"/>
      </rPr>
      <t xml:space="preserve"> = V</t>
    </r>
    <r>
      <rPr>
        <sz val="8"/>
        <rFont val="Arial"/>
        <family val="2"/>
      </rPr>
      <t>2</t>
    </r>
  </si>
  <si>
    <t>Recul</t>
  </si>
  <si>
    <t>Tr moteur/mn</t>
  </si>
  <si>
    <t>Tr hélice/mn</t>
  </si>
  <si>
    <t>Pas =</t>
  </si>
  <si>
    <t xml:space="preserve">Diamètre = </t>
  </si>
  <si>
    <t>Recul =</t>
  </si>
  <si>
    <t>S (m²) =</t>
  </si>
  <si>
    <t>P dispo</t>
  </si>
  <si>
    <t>Vd = déplacement du navire</t>
  </si>
  <si>
    <t>V2 Nds</t>
  </si>
  <si>
    <r>
      <t xml:space="preserve">K = </t>
    </r>
    <r>
      <rPr>
        <sz val="10"/>
        <rFont val="Symbol"/>
        <family val="1"/>
      </rPr>
      <t>r</t>
    </r>
    <r>
      <rPr>
        <sz val="10"/>
        <rFont val="Arial"/>
        <family val="0"/>
      </rPr>
      <t xml:space="preserve"> *S / 4</t>
    </r>
  </si>
  <si>
    <r>
      <t>P</t>
    </r>
    <r>
      <rPr>
        <sz val="10"/>
        <rFont val="Arial"/>
        <family val="0"/>
      </rPr>
      <t xml:space="preserve"> = K*(V2-V1)*(V2+V1)²</t>
    </r>
  </si>
  <si>
    <r>
      <t xml:space="preserve">P </t>
    </r>
    <r>
      <rPr>
        <sz val="10"/>
        <rFont val="Arial"/>
        <family val="0"/>
      </rPr>
      <t>= K*(V2-C*V2)*(V2+CV2)²</t>
    </r>
  </si>
  <si>
    <r>
      <t>P</t>
    </r>
    <r>
      <rPr>
        <b/>
        <sz val="10"/>
        <rFont val="Arial"/>
        <family val="2"/>
      </rPr>
      <t xml:space="preserve"> = K*V2*V2*V2*(1-C)(1+C)(1+C)</t>
    </r>
  </si>
  <si>
    <r>
      <t>P</t>
    </r>
    <r>
      <rPr>
        <b/>
        <sz val="10"/>
        <rFont val="Arial"/>
        <family val="2"/>
      </rPr>
      <t xml:space="preserve"> %</t>
    </r>
  </si>
  <si>
    <t>Réduc 2 =</t>
  </si>
  <si>
    <t>h</t>
  </si>
  <si>
    <t>Plage</t>
  </si>
  <si>
    <t>permanente</t>
  </si>
  <si>
    <t>d'utilisation</t>
  </si>
  <si>
    <t>exceptionnelle</t>
  </si>
  <si>
    <t>très</t>
  </si>
  <si>
    <r>
      <t>V</t>
    </r>
    <r>
      <rPr>
        <sz val="8"/>
        <rFont val="Arial"/>
        <family val="2"/>
      </rPr>
      <t>1</t>
    </r>
    <r>
      <rPr>
        <sz val="10"/>
        <rFont val="Arial"/>
        <family val="0"/>
      </rPr>
      <t xml:space="preserve"> = 2*V</t>
    </r>
    <r>
      <rPr>
        <sz val="8"/>
        <rFont val="Arial"/>
        <family val="2"/>
      </rPr>
      <t xml:space="preserve">2 </t>
    </r>
    <r>
      <rPr>
        <sz val="10"/>
        <rFont val="Arial"/>
        <family val="0"/>
      </rPr>
      <t>/3</t>
    </r>
  </si>
  <si>
    <t>Estimation du pas et du diamètre d'hélice pour un voilier à déplacement</t>
  </si>
  <si>
    <t>Cette estimation ne tient pas compte de tous les paramètres, consultez un hélicier pour plus d'information</t>
  </si>
  <si>
    <t>Cette estimation suppose que l'avant et l'arrière de l'hélice sont bien dégagés.</t>
  </si>
  <si>
    <t>Puissance du moteur en CV =</t>
  </si>
  <si>
    <t>Puissance du moteur en KW =</t>
  </si>
  <si>
    <t>Longeur à la flottaison en mètres =</t>
  </si>
  <si>
    <t>Largeurà la flottaisonen mètres =</t>
  </si>
  <si>
    <t>Poids en charge, en tonnes =</t>
  </si>
  <si>
    <t>Puissance retenue en KW =</t>
  </si>
  <si>
    <t>Puissance en CV par tonne =</t>
  </si>
  <si>
    <t>Vitesse maximale du voilier à 5CV/tonne :</t>
  </si>
  <si>
    <t>Remplir uniquement les cases noires</t>
  </si>
  <si>
    <t>Nombre de tours moteurs à la puissance maximale</t>
  </si>
  <si>
    <t>Rapport de réduction =</t>
  </si>
  <si>
    <t>Vitesse maximale estimée retenue en nœuds =</t>
  </si>
  <si>
    <t>Vitesse optimale estimée en nœuds =</t>
  </si>
  <si>
    <t>Vitesse de propulsion estimée de l'hélice en mètres/seconde =</t>
  </si>
  <si>
    <t>Pas optimal estimé en mètre =</t>
  </si>
  <si>
    <t>Diamètre optimal estimé en mètre =</t>
  </si>
  <si>
    <t>pouces</t>
  </si>
  <si>
    <t>Helice Estimation des efforts</t>
  </si>
  <si>
    <t>Tours/min à Pmax =</t>
  </si>
  <si>
    <t>Watts</t>
  </si>
  <si>
    <t>Réduct</t>
  </si>
  <si>
    <t>Vd en nœuds =</t>
  </si>
  <si>
    <t>Vd</t>
  </si>
  <si>
    <t>Vd optimale en nœuds =</t>
  </si>
  <si>
    <t>coeff.</t>
  </si>
  <si>
    <t>Pmot retenue =</t>
  </si>
  <si>
    <t>NE MODIFIEZ PAS LES CHIFFRES EN VERT</t>
  </si>
  <si>
    <t>MODIFIEZ LES VALEURS DANS LA PAGE "Estimation PAS &amp; DIAMETRE"</t>
  </si>
  <si>
    <t>Evaluation en dynamique</t>
  </si>
  <si>
    <t>VOUS POUVEZ EVALUER FORCE, PUISSANCE, ET RENDEMENT, EN MODIFIANT LA VALEUR DE Vd</t>
  </si>
  <si>
    <t>Q</t>
  </si>
  <si>
    <t>Pour "démasquer" toutes les cellules : tout sélectionner puis cliquer sur le cadre lignes ou colonnes avec le bouton droit de la souris puis sur "afficher"</t>
  </si>
  <si>
    <t>Le résultat de ces calculs est perceptible sur la feuille "Estimation des efforts"</t>
  </si>
  <si>
    <t>Coefficient de finesse du navire =</t>
  </si>
  <si>
    <t>Sh/S</t>
  </si>
  <si>
    <t>Sh/S =</t>
  </si>
  <si>
    <t>S</t>
  </si>
  <si>
    <t>Charge hélice</t>
  </si>
  <si>
    <t>kg/cm²</t>
  </si>
  <si>
    <t>Dep + Pres</t>
  </si>
  <si>
    <t>Charge d'hélice en Kg/cm² max 1,2 kg/cm² pour hélice Radice 3 pales</t>
  </si>
  <si>
    <t>Profondeur de l'hélice (m) =</t>
  </si>
  <si>
    <t>avec Sh / S = fa / f = 0,515 ( fa / f : doc. Radice )</t>
  </si>
  <si>
    <t>(Pascal)</t>
  </si>
  <si>
    <t>(kg/cm²)</t>
  </si>
  <si>
    <t>Vh(Nœuds)</t>
  </si>
  <si>
    <t>Vh (m/sec)</t>
  </si>
  <si>
    <t>P (Watt)</t>
  </si>
  <si>
    <t xml:space="preserve"> F(Newton)</t>
  </si>
  <si>
    <t>Vp(Nœuds)</t>
  </si>
  <si>
    <t>Dépression</t>
  </si>
  <si>
    <t>Pour plus d'informations consultez le site : http://tramontane.homeip.net/cardabela/conception-helice.html</t>
  </si>
  <si>
    <t>Hauteur de la cage d'hélice =</t>
  </si>
  <si>
    <t xml:space="preserve">Hauteur minimale de dégagement de la cage (recommandation) : </t>
  </si>
  <si>
    <r>
      <t xml:space="preserve">Recul estimé de l'hélice à la puissance optimale </t>
    </r>
    <r>
      <rPr>
        <vertAlign val="superscript"/>
        <sz val="8"/>
        <color indexed="10"/>
        <rFont val="Arial"/>
        <family val="2"/>
      </rPr>
      <t>*</t>
    </r>
    <r>
      <rPr>
        <sz val="8"/>
        <color indexed="12"/>
        <rFont val="Arial"/>
        <family val="2"/>
      </rPr>
      <t xml:space="preserve"> =</t>
    </r>
  </si>
  <si>
    <r>
      <t>*</t>
    </r>
    <r>
      <rPr>
        <sz val="8"/>
        <color indexed="12"/>
        <rFont val="Arial"/>
        <family val="2"/>
      </rPr>
      <t xml:space="preserve"> La puissance optimale est ici la puissance maximale du moteur par vent contraire ramenant la vitesse du navire à la vitesse optimale </t>
    </r>
  </si>
  <si>
    <t>Forcer la vitesse maximale estimée :</t>
  </si>
  <si>
    <t>Degré de vitesse R =</t>
  </si>
  <si>
    <t>R (m/sec) = V / RACINE(Lf) --- Foudre = R / 3,132</t>
  </si>
  <si>
    <t>Pour calcul VETUS R = 1,275 (m/s)</t>
  </si>
  <si>
    <t>R</t>
  </si>
  <si>
    <t>V</t>
  </si>
  <si>
    <t>Calcul VETUS:</t>
  </si>
  <si>
    <t>Noter que l'on ne peut pas atteindre la vitesse maximale si on ne passe pas R = 0,95 !</t>
  </si>
  <si>
    <t>Déterminer le diamètre de l'hélice à l'aide de l'abaque : Utiliser le calcul VETUS (Cellule G13 en vert)</t>
  </si>
  <si>
    <r>
      <t>**</t>
    </r>
    <r>
      <rPr>
        <sz val="8"/>
        <color indexed="17"/>
        <rFont val="Arial"/>
        <family val="2"/>
      </rPr>
      <t xml:space="preserve"> Ajuster le recul pour adapter au pas réel =</t>
    </r>
  </si>
  <si>
    <t>Pas réel en mètre =</t>
  </si>
  <si>
    <t>Ce calcul permet  de conserver de la puissance pour résister aux vents contraires à la vitesse optimale</t>
  </si>
  <si>
    <r>
      <t>**</t>
    </r>
    <r>
      <rPr>
        <sz val="8"/>
        <rFont val="Arial"/>
        <family val="2"/>
      </rPr>
      <t xml:space="preserve"> </t>
    </r>
    <r>
      <rPr>
        <sz val="8"/>
        <color indexed="17"/>
        <rFont val="Arial"/>
        <family val="2"/>
      </rPr>
      <t>Cette fausse valeur ne sera pas prise en compte dans l'Estimation des efforts</t>
    </r>
  </si>
  <si>
    <r>
      <t>Coeff. Q</t>
    </r>
    <r>
      <rPr>
        <b/>
        <vertAlign val="superscript"/>
        <sz val="8"/>
        <rFont val="Arial"/>
        <family val="2"/>
      </rPr>
      <t>-1</t>
    </r>
    <r>
      <rPr>
        <b/>
        <sz val="8"/>
        <rFont val="Arial"/>
        <family val="2"/>
      </rPr>
      <t xml:space="preserve"> =</t>
    </r>
  </si>
  <si>
    <r>
      <t>Dans le tableau "</t>
    </r>
    <r>
      <rPr>
        <i/>
        <sz val="8"/>
        <color indexed="10"/>
        <rFont val="Arial"/>
        <family val="2"/>
      </rPr>
      <t>Estimation des efforts</t>
    </r>
    <r>
      <rPr>
        <sz val="8"/>
        <color indexed="10"/>
        <rFont val="Arial"/>
        <family val="2"/>
      </rPr>
      <t>" on peut remplacer la puissance disponible calculée en progression linéaire, par les valeurs du construteur</t>
    </r>
  </si>
  <si>
    <r>
      <t>Coeff. Q</t>
    </r>
    <r>
      <rPr>
        <b/>
        <vertAlign val="superscript"/>
        <sz val="8"/>
        <color indexed="12"/>
        <rFont val="Arial"/>
        <family val="2"/>
      </rPr>
      <t>-1</t>
    </r>
    <r>
      <rPr>
        <b/>
        <sz val="8"/>
        <color indexed="12"/>
        <rFont val="Arial"/>
        <family val="2"/>
      </rPr>
      <t xml:space="preserve"> inverse optimal de la qualité de l'hélice à la propulsion = </t>
    </r>
  </si>
  <si>
    <t>Ph / Pm % =</t>
  </si>
  <si>
    <t>Ph/Pm</t>
  </si>
  <si>
    <t>P mot</t>
  </si>
  <si>
    <t>P villebr</t>
  </si>
  <si>
    <t>P lin</t>
  </si>
  <si>
    <t>Puissance nominale du moteur en CV</t>
  </si>
  <si>
    <t>Par défaut la puissance moteur est linéaire; modifiez les valeurs d'après les valeurs fournies par le constructeur</t>
  </si>
  <si>
    <r>
      <t>r</t>
    </r>
    <r>
      <rPr>
        <b/>
        <sz val="8"/>
        <rFont val="Arial Narrow"/>
        <family val="2"/>
      </rPr>
      <t xml:space="preserve"> &gt;= (kg) =</t>
    </r>
  </si>
  <si>
    <r>
      <t>r</t>
    </r>
    <r>
      <rPr>
        <b/>
        <sz val="8"/>
        <rFont val="Arial Narrow"/>
        <family val="2"/>
      </rPr>
      <t xml:space="preserve">*S/2 = </t>
    </r>
  </si>
  <si>
    <t>V2 = (2*Vp)-Vd</t>
  </si>
  <si>
    <r>
      <t>r</t>
    </r>
    <r>
      <rPr>
        <sz val="8"/>
        <rFont val="Arial Narrow"/>
        <family val="2"/>
      </rPr>
      <t xml:space="preserve">*S/2 = </t>
    </r>
  </si>
  <si>
    <r>
      <t xml:space="preserve"> </t>
    </r>
    <r>
      <rPr>
        <sz val="8"/>
        <rFont val="Arial Narrow"/>
        <family val="2"/>
      </rPr>
      <t>F(Newton)</t>
    </r>
  </si>
  <si>
    <r>
      <t>r</t>
    </r>
    <r>
      <rPr>
        <sz val="8"/>
        <rFont val="Arial Narrow"/>
        <family val="2"/>
      </rPr>
      <t>*g*h</t>
    </r>
  </si>
  <si>
    <t>D =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</si>
</sst>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0.000"/>
    <numFmt numFmtId="167" formatCode="0_ ;[Red]\-0\ "/>
    <numFmt numFmtId="168" formatCode="0.00_ ;[Red]\-0.00\ "/>
    <numFmt numFmtId="169" formatCode="0.000_ ;[Red]\-0.000\ "/>
    <numFmt numFmtId="170" formatCode="0.0000_ ;[Red]\-0.0000\ 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0"/>
      <name val="Symbol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Symbol"/>
      <family val="1"/>
    </font>
    <font>
      <b/>
      <sz val="8"/>
      <name val="Arial Narrow"/>
      <family val="2"/>
    </font>
    <font>
      <b/>
      <sz val="10"/>
      <color indexed="17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u val="single"/>
      <sz val="10"/>
      <color indexed="12"/>
      <name val="Arial"/>
      <family val="0"/>
    </font>
    <font>
      <sz val="8"/>
      <color indexed="12"/>
      <name val="Arial"/>
      <family val="2"/>
    </font>
    <font>
      <b/>
      <sz val="8"/>
      <color indexed="60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vertAlign val="superscript"/>
      <sz val="8"/>
      <color indexed="10"/>
      <name val="Arial"/>
      <family val="2"/>
    </font>
    <font>
      <b/>
      <vertAlign val="superscript"/>
      <sz val="8"/>
      <color indexed="12"/>
      <name val="Arial"/>
      <family val="2"/>
    </font>
    <font>
      <b/>
      <i/>
      <sz val="8"/>
      <color indexed="12"/>
      <name val="Arial"/>
      <family val="2"/>
    </font>
    <font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sz val="8.5"/>
      <name val="Arial"/>
      <family val="0"/>
    </font>
    <font>
      <b/>
      <sz val="8.5"/>
      <name val="Arial"/>
      <family val="0"/>
    </font>
    <font>
      <sz val="8"/>
      <color indexed="57"/>
      <name val="Arial"/>
      <family val="2"/>
    </font>
    <font>
      <b/>
      <i/>
      <sz val="8"/>
      <color indexed="10"/>
      <name val="Arial"/>
      <family val="2"/>
    </font>
    <font>
      <sz val="8"/>
      <name val="Tahoma"/>
      <family val="0"/>
    </font>
    <font>
      <i/>
      <sz val="8"/>
      <color indexed="10"/>
      <name val="Arial"/>
      <family val="2"/>
    </font>
    <font>
      <b/>
      <vertAlign val="superscript"/>
      <sz val="8"/>
      <name val="Arial"/>
      <family val="2"/>
    </font>
    <font>
      <sz val="8"/>
      <color indexed="60"/>
      <name val="Arial"/>
      <family val="2"/>
    </font>
    <font>
      <sz val="8"/>
      <name val="Arial Narrow"/>
      <family val="2"/>
    </font>
    <font>
      <b/>
      <sz val="8"/>
      <color indexed="57"/>
      <name val="Arial Narrow"/>
      <family val="2"/>
    </font>
    <font>
      <b/>
      <sz val="8"/>
      <color indexed="21"/>
      <name val="Arial Narrow"/>
      <family val="2"/>
    </font>
    <font>
      <b/>
      <sz val="8"/>
      <name val="Symbol"/>
      <family val="1"/>
    </font>
    <font>
      <sz val="8"/>
      <name val="Symbol"/>
      <family val="1"/>
    </font>
    <font>
      <b/>
      <i/>
      <sz val="8"/>
      <color indexed="62"/>
      <name val="Arial Narrow"/>
      <family val="2"/>
    </font>
    <font>
      <b/>
      <sz val="8"/>
      <color indexed="17"/>
      <name val="Arial Narrow"/>
      <family val="2"/>
    </font>
    <font>
      <sz val="8"/>
      <color indexed="55"/>
      <name val="Arial"/>
      <family val="0"/>
    </font>
    <font>
      <sz val="8"/>
      <color indexed="55"/>
      <name val="Arial Narrow"/>
      <family val="2"/>
    </font>
    <font>
      <b/>
      <i/>
      <sz val="8"/>
      <color indexed="10"/>
      <name val="Arial Narrow"/>
      <family val="2"/>
    </font>
    <font>
      <sz val="8"/>
      <color indexed="15"/>
      <name val="Arial"/>
      <family val="0"/>
    </font>
    <font>
      <sz val="8"/>
      <color indexed="10"/>
      <name val="Arial Narrow"/>
      <family val="2"/>
    </font>
    <font>
      <sz val="8"/>
      <color indexed="23"/>
      <name val="Arial"/>
      <family val="0"/>
    </font>
    <font>
      <sz val="8"/>
      <color indexed="13"/>
      <name val="Arial"/>
      <family val="0"/>
    </font>
    <font>
      <sz val="8"/>
      <color indexed="18"/>
      <name val="Arial"/>
      <family val="0"/>
    </font>
    <font>
      <i/>
      <sz val="8"/>
      <color indexed="13"/>
      <name val="Arial Narrow"/>
      <family val="2"/>
    </font>
    <font>
      <b/>
      <sz val="8"/>
      <color indexed="13"/>
      <name val="Arial Narrow"/>
      <family val="2"/>
    </font>
    <font>
      <sz val="8"/>
      <color indexed="13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5" fontId="0" fillId="2" borderId="0" xfId="0" applyNumberFormat="1" applyFill="1" applyAlignment="1">
      <alignment/>
    </xf>
    <xf numFmtId="166" fontId="0" fillId="2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>
      <alignment/>
    </xf>
    <xf numFmtId="167" fontId="0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66" fontId="7" fillId="0" borderId="0" xfId="0" applyNumberFormat="1" applyFont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166" fontId="0" fillId="2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8" fontId="0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7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6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7" fontId="5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2" fontId="1" fillId="0" borderId="0" xfId="0" applyNumberFormat="1" applyFont="1" applyAlignment="1" applyProtection="1">
      <alignment horizontal="left"/>
      <protection locked="0"/>
    </xf>
    <xf numFmtId="165" fontId="14" fillId="0" borderId="0" xfId="0" applyNumberFormat="1" applyFont="1" applyAlignment="1">
      <alignment horizontal="left"/>
    </xf>
    <xf numFmtId="0" fontId="15" fillId="0" borderId="0" xfId="0" applyFont="1" applyAlignment="1">
      <alignment horizontal="right"/>
    </xf>
    <xf numFmtId="2" fontId="15" fillId="0" borderId="0" xfId="0" applyNumberFormat="1" applyFont="1" applyAlignment="1">
      <alignment horizontal="left"/>
    </xf>
    <xf numFmtId="165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8" fillId="0" borderId="0" xfId="15" applyFont="1" applyAlignment="1">
      <alignment/>
    </xf>
    <xf numFmtId="0" fontId="17" fillId="0" borderId="0" xfId="0" applyFont="1" applyAlignment="1">
      <alignment horizontal="left"/>
    </xf>
    <xf numFmtId="2" fontId="13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16" fillId="0" borderId="0" xfId="0" applyFont="1" applyAlignment="1">
      <alignment horizontal="right"/>
    </xf>
    <xf numFmtId="2" fontId="16" fillId="0" borderId="0" xfId="0" applyNumberFormat="1" applyFont="1" applyAlignment="1">
      <alignment horizontal="left"/>
    </xf>
    <xf numFmtId="166" fontId="1" fillId="0" borderId="0" xfId="0" applyNumberFormat="1" applyFont="1" applyAlignment="1" applyProtection="1">
      <alignment horizontal="left"/>
      <protection locked="0"/>
    </xf>
    <xf numFmtId="166" fontId="15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1" fillId="0" borderId="0" xfId="0" applyFont="1" applyAlignment="1">
      <alignment/>
    </xf>
    <xf numFmtId="1" fontId="1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>
      <alignment horizontal="right"/>
    </xf>
    <xf numFmtId="166" fontId="17" fillId="0" borderId="0" xfId="0" applyNumberFormat="1" applyFont="1" applyAlignment="1">
      <alignment horizontal="left"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17" fillId="0" borderId="0" xfId="0" applyFont="1" applyAlignment="1">
      <alignment horizontal="center"/>
    </xf>
    <xf numFmtId="2" fontId="22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0" fontId="27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2" fontId="24" fillId="0" borderId="0" xfId="0" applyNumberFormat="1" applyFont="1" applyAlignment="1">
      <alignment horizontal="left"/>
    </xf>
    <xf numFmtId="2" fontId="14" fillId="0" borderId="0" xfId="0" applyNumberFormat="1" applyFont="1" applyAlignment="1">
      <alignment/>
    </xf>
    <xf numFmtId="0" fontId="28" fillId="0" borderId="0" xfId="0" applyFont="1" applyAlignment="1">
      <alignment/>
    </xf>
    <xf numFmtId="0" fontId="22" fillId="0" borderId="0" xfId="0" applyFont="1" applyAlignment="1">
      <alignment/>
    </xf>
    <xf numFmtId="0" fontId="28" fillId="0" borderId="0" xfId="0" applyFont="1" applyFill="1" applyBorder="1" applyAlignment="1">
      <alignment horizontal="left"/>
    </xf>
    <xf numFmtId="0" fontId="17" fillId="0" borderId="0" xfId="0" applyFont="1" applyFill="1" applyAlignment="1">
      <alignment horizontal="right"/>
    </xf>
    <xf numFmtId="166" fontId="16" fillId="0" borderId="0" xfId="0" applyNumberFormat="1" applyFont="1" applyAlignment="1" applyProtection="1">
      <alignment horizontal="left"/>
      <protection locked="0"/>
    </xf>
    <xf numFmtId="2" fontId="32" fillId="0" borderId="0" xfId="0" applyNumberFormat="1" applyFont="1" applyAlignment="1">
      <alignment/>
    </xf>
    <xf numFmtId="0" fontId="33" fillId="0" borderId="0" xfId="0" applyFont="1" applyBorder="1" applyAlignment="1">
      <alignment/>
    </xf>
    <xf numFmtId="1" fontId="33" fillId="0" borderId="0" xfId="0" applyNumberFormat="1" applyFont="1" applyBorder="1" applyAlignment="1">
      <alignment/>
    </xf>
    <xf numFmtId="2" fontId="33" fillId="0" borderId="0" xfId="0" applyNumberFormat="1" applyFont="1" applyBorder="1" applyAlignment="1">
      <alignment/>
    </xf>
    <xf numFmtId="166" fontId="33" fillId="0" borderId="0" xfId="0" applyNumberFormat="1" applyFont="1" applyBorder="1" applyAlignment="1">
      <alignment/>
    </xf>
    <xf numFmtId="167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8" fontId="34" fillId="0" borderId="0" xfId="0" applyNumberFormat="1" applyFont="1" applyBorder="1" applyAlignment="1" applyProtection="1">
      <alignment horizontal="left"/>
      <protection/>
    </xf>
    <xf numFmtId="168" fontId="33" fillId="0" borderId="0" xfId="0" applyNumberFormat="1" applyFont="1" applyBorder="1" applyAlignment="1">
      <alignment/>
    </xf>
    <xf numFmtId="167" fontId="33" fillId="0" borderId="0" xfId="0" applyNumberFormat="1" applyFont="1" applyBorder="1" applyAlignment="1">
      <alignment/>
    </xf>
    <xf numFmtId="168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2" fontId="34" fillId="0" borderId="0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 horizontal="right"/>
    </xf>
    <xf numFmtId="1" fontId="34" fillId="0" borderId="0" xfId="0" applyNumberFormat="1" applyFont="1" applyBorder="1" applyAlignment="1" applyProtection="1">
      <alignment horizontal="left"/>
      <protection/>
    </xf>
    <xf numFmtId="2" fontId="35" fillId="2" borderId="0" xfId="0" applyNumberFormat="1" applyFont="1" applyFill="1" applyBorder="1" applyAlignment="1">
      <alignment/>
    </xf>
    <xf numFmtId="2" fontId="33" fillId="2" borderId="0" xfId="0" applyNumberFormat="1" applyFont="1" applyFill="1" applyBorder="1" applyAlignment="1">
      <alignment/>
    </xf>
    <xf numFmtId="168" fontId="33" fillId="2" borderId="0" xfId="0" applyNumberFormat="1" applyFont="1" applyFill="1" applyBorder="1" applyAlignment="1">
      <alignment/>
    </xf>
    <xf numFmtId="0" fontId="33" fillId="2" borderId="0" xfId="0" applyFont="1" applyFill="1" applyBorder="1" applyAlignment="1">
      <alignment/>
    </xf>
    <xf numFmtId="167" fontId="33" fillId="2" borderId="0" xfId="0" applyNumberFormat="1" applyFont="1" applyFill="1" applyBorder="1" applyAlignment="1">
      <alignment/>
    </xf>
    <xf numFmtId="168" fontId="8" fillId="2" borderId="0" xfId="0" applyNumberFormat="1" applyFont="1" applyFill="1" applyBorder="1" applyAlignment="1">
      <alignment horizontal="right"/>
    </xf>
    <xf numFmtId="2" fontId="34" fillId="0" borderId="0" xfId="0" applyNumberFormat="1" applyFont="1" applyBorder="1" applyAlignment="1">
      <alignment horizontal="left"/>
    </xf>
    <xf numFmtId="164" fontId="36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 applyProtection="1">
      <alignment horizontal="left"/>
      <protection locked="0"/>
    </xf>
    <xf numFmtId="168" fontId="36" fillId="2" borderId="0" xfId="0" applyNumberFormat="1" applyFont="1" applyFill="1" applyBorder="1" applyAlignment="1">
      <alignment horizontal="right"/>
    </xf>
    <xf numFmtId="1" fontId="33" fillId="0" borderId="0" xfId="0" applyNumberFormat="1" applyFont="1" applyBorder="1" applyAlignment="1">
      <alignment horizontal="left"/>
    </xf>
    <xf numFmtId="166" fontId="34" fillId="0" borderId="0" xfId="0" applyNumberFormat="1" applyFont="1" applyBorder="1" applyAlignment="1" applyProtection="1">
      <alignment horizontal="left"/>
      <protection/>
    </xf>
    <xf numFmtId="164" fontId="34" fillId="0" borderId="0" xfId="0" applyNumberFormat="1" applyFont="1" applyBorder="1" applyAlignment="1" applyProtection="1">
      <alignment horizontal="left"/>
      <protection/>
    </xf>
    <xf numFmtId="164" fontId="33" fillId="0" borderId="0" xfId="0" applyNumberFormat="1" applyFont="1" applyBorder="1" applyAlignment="1">
      <alignment horizontal="left"/>
    </xf>
    <xf numFmtId="0" fontId="36" fillId="0" borderId="0" xfId="0" applyFont="1" applyBorder="1" applyAlignment="1">
      <alignment horizontal="right"/>
    </xf>
    <xf numFmtId="167" fontId="8" fillId="0" borderId="0" xfId="0" applyNumberFormat="1" applyFont="1" applyBorder="1" applyAlignment="1">
      <alignment/>
    </xf>
    <xf numFmtId="0" fontId="33" fillId="0" borderId="0" xfId="0" applyFont="1" applyBorder="1" applyAlignment="1">
      <alignment horizontal="left"/>
    </xf>
    <xf numFmtId="168" fontId="33" fillId="0" borderId="0" xfId="0" applyNumberFormat="1" applyFont="1" applyBorder="1" applyAlignment="1">
      <alignment horizontal="left"/>
    </xf>
    <xf numFmtId="167" fontId="33" fillId="0" borderId="0" xfId="0" applyNumberFormat="1" applyFont="1" applyBorder="1" applyAlignment="1">
      <alignment horizontal="left"/>
    </xf>
    <xf numFmtId="168" fontId="36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64" fontId="37" fillId="0" borderId="0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left"/>
    </xf>
    <xf numFmtId="168" fontId="8" fillId="0" borderId="0" xfId="0" applyNumberFormat="1" applyFont="1" applyBorder="1" applyAlignment="1">
      <alignment/>
    </xf>
    <xf numFmtId="168" fontId="37" fillId="0" borderId="0" xfId="0" applyNumberFormat="1" applyFont="1" applyBorder="1" applyAlignment="1">
      <alignment horizontal="right"/>
    </xf>
    <xf numFmtId="2" fontId="37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left"/>
    </xf>
    <xf numFmtId="168" fontId="8" fillId="0" borderId="0" xfId="0" applyNumberFormat="1" applyFont="1" applyBorder="1" applyAlignment="1">
      <alignment horizontal="left"/>
    </xf>
    <xf numFmtId="2" fontId="38" fillId="0" borderId="0" xfId="0" applyNumberFormat="1" applyFont="1" applyBorder="1" applyAlignment="1">
      <alignment horizontal="left"/>
    </xf>
    <xf numFmtId="1" fontId="8" fillId="2" borderId="0" xfId="0" applyNumberFormat="1" applyFont="1" applyFill="1" applyBorder="1" applyAlignment="1">
      <alignment horizontal="left"/>
    </xf>
    <xf numFmtId="2" fontId="8" fillId="2" borderId="0" xfId="0" applyNumberFormat="1" applyFont="1" applyFill="1" applyBorder="1" applyAlignment="1">
      <alignment/>
    </xf>
    <xf numFmtId="1" fontId="33" fillId="2" borderId="0" xfId="0" applyNumberFormat="1" applyFont="1" applyFill="1" applyBorder="1" applyAlignment="1">
      <alignment/>
    </xf>
    <xf numFmtId="164" fontId="8" fillId="0" borderId="0" xfId="0" applyNumberFormat="1" applyFont="1" applyBorder="1" applyAlignment="1">
      <alignment/>
    </xf>
    <xf numFmtId="164" fontId="33" fillId="0" borderId="0" xfId="0" applyNumberFormat="1" applyFont="1" applyBorder="1" applyAlignment="1">
      <alignment/>
    </xf>
    <xf numFmtId="2" fontId="39" fillId="0" borderId="0" xfId="0" applyNumberFormat="1" applyFont="1" applyBorder="1" applyAlignment="1" applyProtection="1">
      <alignment horizontal="left"/>
      <protection/>
    </xf>
    <xf numFmtId="167" fontId="8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" fontId="33" fillId="0" borderId="1" xfId="0" applyNumberFormat="1" applyFont="1" applyBorder="1" applyAlignment="1">
      <alignment horizontal="center"/>
    </xf>
    <xf numFmtId="2" fontId="33" fillId="0" borderId="2" xfId="0" applyNumberFormat="1" applyFont="1" applyBorder="1" applyAlignment="1">
      <alignment horizontal="center"/>
    </xf>
    <xf numFmtId="1" fontId="33" fillId="0" borderId="2" xfId="0" applyNumberFormat="1" applyFont="1" applyBorder="1" applyAlignment="1">
      <alignment horizontal="center"/>
    </xf>
    <xf numFmtId="166" fontId="33" fillId="0" borderId="2" xfId="0" applyNumberFormat="1" applyFont="1" applyBorder="1" applyAlignment="1">
      <alignment horizontal="center"/>
    </xf>
    <xf numFmtId="164" fontId="33" fillId="0" borderId="2" xfId="0" applyNumberFormat="1" applyFont="1" applyBorder="1" applyAlignment="1">
      <alignment horizontal="center"/>
    </xf>
    <xf numFmtId="2" fontId="33" fillId="0" borderId="3" xfId="0" applyNumberFormat="1" applyFont="1" applyBorder="1" applyAlignment="1">
      <alignment horizontal="center"/>
    </xf>
    <xf numFmtId="2" fontId="33" fillId="0" borderId="1" xfId="0" applyNumberFormat="1" applyFont="1" applyBorder="1" applyAlignment="1">
      <alignment horizontal="center"/>
    </xf>
    <xf numFmtId="168" fontId="33" fillId="0" borderId="2" xfId="0" applyNumberFormat="1" applyFont="1" applyBorder="1" applyAlignment="1">
      <alignment horizontal="center"/>
    </xf>
    <xf numFmtId="0" fontId="37" fillId="0" borderId="2" xfId="0" applyFont="1" applyBorder="1" applyAlignment="1">
      <alignment horizontal="right"/>
    </xf>
    <xf numFmtId="167" fontId="37" fillId="0" borderId="2" xfId="0" applyNumberFormat="1" applyFont="1" applyBorder="1" applyAlignment="1">
      <alignment horizontal="center"/>
    </xf>
    <xf numFmtId="167" fontId="33" fillId="0" borderId="2" xfId="0" applyNumberFormat="1" applyFont="1" applyBorder="1" applyAlignment="1">
      <alignment horizontal="center"/>
    </xf>
    <xf numFmtId="168" fontId="37" fillId="0" borderId="3" xfId="0" applyNumberFormat="1" applyFont="1" applyBorder="1" applyAlignment="1">
      <alignment horizontal="center"/>
    </xf>
    <xf numFmtId="167" fontId="33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8" fontId="37" fillId="0" borderId="2" xfId="0" applyNumberFormat="1" applyFont="1" applyBorder="1" applyAlignment="1">
      <alignment horizontal="center"/>
    </xf>
    <xf numFmtId="1" fontId="33" fillId="0" borderId="4" xfId="0" applyNumberFormat="1" applyFont="1" applyBorder="1" applyAlignment="1">
      <alignment horizontal="center"/>
    </xf>
    <xf numFmtId="2" fontId="39" fillId="0" borderId="5" xfId="0" applyNumberFormat="1" applyFont="1" applyBorder="1" applyAlignment="1">
      <alignment horizontal="center"/>
    </xf>
    <xf numFmtId="1" fontId="33" fillId="0" borderId="5" xfId="0" applyNumberFormat="1" applyFont="1" applyBorder="1" applyAlignment="1">
      <alignment horizontal="center"/>
    </xf>
    <xf numFmtId="166" fontId="39" fillId="0" borderId="5" xfId="0" applyNumberFormat="1" applyFont="1" applyBorder="1" applyAlignment="1">
      <alignment horizontal="center"/>
    </xf>
    <xf numFmtId="2" fontId="33" fillId="0" borderId="5" xfId="0" applyNumberFormat="1" applyFont="1" applyBorder="1" applyAlignment="1">
      <alignment horizontal="center"/>
    </xf>
    <xf numFmtId="164" fontId="39" fillId="0" borderId="5" xfId="0" applyNumberFormat="1" applyFont="1" applyBorder="1" applyAlignment="1">
      <alignment horizontal="center"/>
    </xf>
    <xf numFmtId="2" fontId="33" fillId="0" borderId="6" xfId="0" applyNumberFormat="1" applyFont="1" applyBorder="1" applyAlignment="1">
      <alignment horizontal="center"/>
    </xf>
    <xf numFmtId="2" fontId="39" fillId="0" borderId="4" xfId="0" applyNumberFormat="1" applyFont="1" applyBorder="1" applyAlignment="1">
      <alignment horizontal="center"/>
    </xf>
    <xf numFmtId="168" fontId="33" fillId="0" borderId="5" xfId="0" applyNumberFormat="1" applyFont="1" applyBorder="1" applyAlignment="1">
      <alignment horizontal="center"/>
    </xf>
    <xf numFmtId="168" fontId="39" fillId="0" borderId="5" xfId="0" applyNumberFormat="1" applyFont="1" applyBorder="1" applyAlignment="1">
      <alignment horizontal="center"/>
    </xf>
    <xf numFmtId="167" fontId="37" fillId="0" borderId="5" xfId="0" applyNumberFormat="1" applyFont="1" applyBorder="1" applyAlignment="1">
      <alignment horizontal="center"/>
    </xf>
    <xf numFmtId="168" fontId="37" fillId="0" borderId="6" xfId="0" applyNumberFormat="1" applyFont="1" applyBorder="1" applyAlignment="1">
      <alignment horizontal="center"/>
    </xf>
    <xf numFmtId="169" fontId="34" fillId="0" borderId="4" xfId="0" applyNumberFormat="1" applyFont="1" applyBorder="1" applyAlignment="1">
      <alignment horizontal="center"/>
    </xf>
    <xf numFmtId="167" fontId="33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7" fontId="34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7" xfId="0" applyFont="1" applyBorder="1" applyAlignment="1">
      <alignment/>
    </xf>
    <xf numFmtId="2" fontId="40" fillId="0" borderId="0" xfId="0" applyNumberFormat="1" applyFont="1" applyBorder="1" applyAlignment="1">
      <alignment/>
    </xf>
    <xf numFmtId="1" fontId="40" fillId="0" borderId="0" xfId="0" applyNumberFormat="1" applyFont="1" applyBorder="1" applyAlignment="1">
      <alignment/>
    </xf>
    <xf numFmtId="166" fontId="40" fillId="0" borderId="0" xfId="0" applyNumberFormat="1" applyFont="1" applyBorder="1" applyAlignment="1">
      <alignment/>
    </xf>
    <xf numFmtId="164" fontId="40" fillId="0" borderId="0" xfId="0" applyNumberFormat="1" applyFont="1" applyBorder="1" applyAlignment="1">
      <alignment/>
    </xf>
    <xf numFmtId="2" fontId="40" fillId="0" borderId="8" xfId="0" applyNumberFormat="1" applyFont="1" applyBorder="1" applyAlignment="1">
      <alignment/>
    </xf>
    <xf numFmtId="2" fontId="40" fillId="0" borderId="7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168" fontId="40" fillId="0" borderId="0" xfId="0" applyNumberFormat="1" applyFont="1" applyBorder="1" applyAlignment="1">
      <alignment/>
    </xf>
    <xf numFmtId="167" fontId="40" fillId="0" borderId="0" xfId="0" applyNumberFormat="1" applyFont="1" applyBorder="1" applyAlignment="1">
      <alignment/>
    </xf>
    <xf numFmtId="168" fontId="40" fillId="0" borderId="8" xfId="0" applyNumberFormat="1" applyFont="1" applyBorder="1" applyAlignment="1">
      <alignment/>
    </xf>
    <xf numFmtId="169" fontId="41" fillId="0" borderId="7" xfId="0" applyNumberFormat="1" applyFont="1" applyBorder="1" applyAlignment="1">
      <alignment/>
    </xf>
    <xf numFmtId="167" fontId="41" fillId="0" borderId="0" xfId="0" applyNumberFormat="1" applyFont="1" applyBorder="1" applyAlignment="1">
      <alignment/>
    </xf>
    <xf numFmtId="168" fontId="1" fillId="0" borderId="8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0" fontId="33" fillId="0" borderId="0" xfId="0" applyFont="1" applyFill="1" applyBorder="1" applyAlignment="1">
      <alignment/>
    </xf>
    <xf numFmtId="2" fontId="1" fillId="0" borderId="8" xfId="0" applyNumberFormat="1" applyFont="1" applyFill="1" applyBorder="1" applyAlignment="1">
      <alignment/>
    </xf>
    <xf numFmtId="1" fontId="1" fillId="0" borderId="7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" fontId="1" fillId="0" borderId="9" xfId="0" applyNumberFormat="1" applyFont="1" applyBorder="1" applyAlignment="1">
      <alignment/>
    </xf>
    <xf numFmtId="2" fontId="40" fillId="0" borderId="10" xfId="0" applyNumberFormat="1" applyFont="1" applyBorder="1" applyAlignment="1">
      <alignment/>
    </xf>
    <xf numFmtId="1" fontId="40" fillId="0" borderId="10" xfId="0" applyNumberFormat="1" applyFont="1" applyBorder="1" applyAlignment="1">
      <alignment/>
    </xf>
    <xf numFmtId="166" fontId="40" fillId="0" borderId="10" xfId="0" applyNumberFormat="1" applyFont="1" applyBorder="1" applyAlignment="1">
      <alignment/>
    </xf>
    <xf numFmtId="164" fontId="40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40" fillId="0" borderId="9" xfId="0" applyNumberFormat="1" applyFont="1" applyBorder="1" applyAlignment="1">
      <alignment/>
    </xf>
    <xf numFmtId="168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68" fontId="40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169" fontId="41" fillId="0" borderId="9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7" fontId="33" fillId="0" borderId="10" xfId="0" applyNumberFormat="1" applyFont="1" applyBorder="1" applyAlignment="1">
      <alignment/>
    </xf>
    <xf numFmtId="167" fontId="41" fillId="0" borderId="1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68" fontId="34" fillId="0" borderId="0" xfId="0" applyNumberFormat="1" applyFont="1" applyBorder="1" applyAlignment="1">
      <alignment horizontal="left"/>
    </xf>
    <xf numFmtId="1" fontId="34" fillId="0" borderId="0" xfId="0" applyNumberFormat="1" applyFont="1" applyBorder="1" applyAlignment="1">
      <alignment horizontal="left"/>
    </xf>
    <xf numFmtId="0" fontId="1" fillId="2" borderId="0" xfId="0" applyFont="1" applyFill="1" applyAlignment="1">
      <alignment/>
    </xf>
    <xf numFmtId="166" fontId="34" fillId="0" borderId="0" xfId="0" applyNumberFormat="1" applyFont="1" applyBorder="1" applyAlignment="1">
      <alignment horizontal="left"/>
    </xf>
    <xf numFmtId="164" fontId="34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167" fontId="42" fillId="0" borderId="0" xfId="0" applyNumberFormat="1" applyFont="1" applyBorder="1" applyAlignment="1">
      <alignment/>
    </xf>
    <xf numFmtId="0" fontId="8" fillId="2" borderId="0" xfId="0" applyFont="1" applyFill="1" applyBorder="1" applyAlignment="1">
      <alignment/>
    </xf>
    <xf numFmtId="0" fontId="40" fillId="2" borderId="0" xfId="0" applyFont="1" applyFill="1" applyBorder="1" applyAlignment="1">
      <alignment/>
    </xf>
    <xf numFmtId="1" fontId="8" fillId="2" borderId="0" xfId="0" applyNumberFormat="1" applyFont="1" applyFill="1" applyBorder="1" applyAlignment="1">
      <alignment/>
    </xf>
    <xf numFmtId="166" fontId="8" fillId="2" borderId="0" xfId="0" applyNumberFormat="1" applyFont="1" applyFill="1" applyBorder="1" applyAlignment="1">
      <alignment/>
    </xf>
    <xf numFmtId="164" fontId="8" fillId="2" borderId="0" xfId="0" applyNumberFormat="1" applyFont="1" applyFill="1" applyBorder="1" applyAlignment="1">
      <alignment/>
    </xf>
    <xf numFmtId="168" fontId="8" fillId="2" borderId="0" xfId="0" applyNumberFormat="1" applyFont="1" applyFill="1" applyBorder="1" applyAlignment="1">
      <alignment/>
    </xf>
    <xf numFmtId="167" fontId="8" fillId="2" borderId="0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166" fontId="33" fillId="2" borderId="0" xfId="0" applyNumberFormat="1" applyFont="1" applyFill="1" applyBorder="1" applyAlignment="1">
      <alignment/>
    </xf>
    <xf numFmtId="164" fontId="33" fillId="2" borderId="0" xfId="0" applyNumberFormat="1" applyFont="1" applyFill="1" applyBorder="1" applyAlignment="1">
      <alignment/>
    </xf>
    <xf numFmtId="167" fontId="8" fillId="2" borderId="0" xfId="0" applyNumberFormat="1" applyFont="1" applyFill="1" applyBorder="1" applyAlignment="1">
      <alignment horizontal="right"/>
    </xf>
    <xf numFmtId="2" fontId="8" fillId="0" borderId="0" xfId="0" applyNumberFormat="1" applyFont="1" applyBorder="1" applyAlignment="1" applyProtection="1">
      <alignment horizontal="left"/>
      <protection locked="0"/>
    </xf>
    <xf numFmtId="168" fontId="33" fillId="0" borderId="0" xfId="0" applyNumberFormat="1" applyFont="1" applyBorder="1" applyAlignment="1">
      <alignment horizontal="center"/>
    </xf>
    <xf numFmtId="167" fontId="33" fillId="0" borderId="0" xfId="0" applyNumberFormat="1" applyFont="1" applyBorder="1" applyAlignment="1">
      <alignment horizontal="center"/>
    </xf>
    <xf numFmtId="168" fontId="33" fillId="0" borderId="3" xfId="0" applyNumberFormat="1" applyFont="1" applyBorder="1" applyAlignment="1">
      <alignment horizontal="center"/>
    </xf>
    <xf numFmtId="0" fontId="33" fillId="0" borderId="0" xfId="0" applyFont="1" applyAlignment="1">
      <alignment/>
    </xf>
    <xf numFmtId="168" fontId="37" fillId="0" borderId="5" xfId="0" applyNumberFormat="1" applyFont="1" applyBorder="1" applyAlignment="1">
      <alignment horizontal="center"/>
    </xf>
    <xf numFmtId="169" fontId="33" fillId="0" borderId="5" xfId="0" applyNumberFormat="1" applyFont="1" applyBorder="1" applyAlignment="1">
      <alignment horizontal="center"/>
    </xf>
    <xf numFmtId="169" fontId="34" fillId="0" borderId="5" xfId="0" applyNumberFormat="1" applyFont="1" applyBorder="1" applyAlignment="1">
      <alignment horizontal="center"/>
    </xf>
    <xf numFmtId="168" fontId="1" fillId="0" borderId="6" xfId="0" applyNumberFormat="1" applyFont="1" applyBorder="1" applyAlignment="1">
      <alignment/>
    </xf>
    <xf numFmtId="169" fontId="41" fillId="0" borderId="0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2" fontId="40" fillId="0" borderId="5" xfId="0" applyNumberFormat="1" applyFont="1" applyBorder="1" applyAlignment="1">
      <alignment/>
    </xf>
    <xf numFmtId="1" fontId="43" fillId="3" borderId="5" xfId="0" applyNumberFormat="1" applyFont="1" applyFill="1" applyBorder="1" applyAlignment="1">
      <alignment/>
    </xf>
    <xf numFmtId="166" fontId="40" fillId="0" borderId="5" xfId="0" applyNumberFormat="1" applyFont="1" applyBorder="1" applyAlignment="1">
      <alignment/>
    </xf>
    <xf numFmtId="164" fontId="40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1" fontId="43" fillId="3" borderId="0" xfId="0" applyNumberFormat="1" applyFont="1" applyFill="1" applyBorder="1" applyAlignment="1">
      <alignment/>
    </xf>
    <xf numFmtId="168" fontId="1" fillId="0" borderId="8" xfId="0" applyNumberFormat="1" applyFont="1" applyBorder="1" applyAlignment="1">
      <alignment horizontal="right"/>
    </xf>
    <xf numFmtId="0" fontId="44" fillId="0" borderId="0" xfId="0" applyFont="1" applyAlignment="1">
      <alignment/>
    </xf>
    <xf numFmtId="0" fontId="8" fillId="0" borderId="0" xfId="0" applyFont="1" applyBorder="1" applyAlignment="1">
      <alignment/>
    </xf>
    <xf numFmtId="1" fontId="43" fillId="3" borderId="10" xfId="0" applyNumberFormat="1" applyFont="1" applyFill="1" applyBorder="1" applyAlignment="1">
      <alignment/>
    </xf>
    <xf numFmtId="169" fontId="41" fillId="0" borderId="10" xfId="0" applyNumberFormat="1" applyFont="1" applyBorder="1" applyAlignment="1">
      <alignment/>
    </xf>
    <xf numFmtId="168" fontId="1" fillId="0" borderId="11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7" fontId="33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" fontId="16" fillId="0" borderId="4" xfId="0" applyNumberFormat="1" applyFont="1" applyBorder="1" applyAlignment="1">
      <alignment/>
    </xf>
    <xf numFmtId="2" fontId="45" fillId="0" borderId="5" xfId="0" applyNumberFormat="1" applyFont="1" applyBorder="1" applyAlignment="1">
      <alignment/>
    </xf>
    <xf numFmtId="1" fontId="46" fillId="3" borderId="5" xfId="0" applyNumberFormat="1" applyFont="1" applyFill="1" applyBorder="1" applyAlignment="1">
      <alignment/>
    </xf>
    <xf numFmtId="1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1" fontId="47" fillId="0" borderId="6" xfId="0" applyNumberFormat="1" applyFont="1" applyBorder="1" applyAlignment="1">
      <alignment/>
    </xf>
    <xf numFmtId="1" fontId="16" fillId="0" borderId="7" xfId="0" applyNumberFormat="1" applyFont="1" applyBorder="1" applyAlignment="1">
      <alignment/>
    </xf>
    <xf numFmtId="2" fontId="45" fillId="0" borderId="0" xfId="0" applyNumberFormat="1" applyFont="1" applyBorder="1" applyAlignment="1">
      <alignment/>
    </xf>
    <xf numFmtId="1" fontId="46" fillId="3" borderId="0" xfId="0" applyNumberFormat="1" applyFont="1" applyFill="1" applyBorder="1" applyAlignment="1">
      <alignment/>
    </xf>
    <xf numFmtId="0" fontId="17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1" fontId="47" fillId="0" borderId="8" xfId="0" applyNumberFormat="1" applyFont="1" applyBorder="1" applyAlignment="1">
      <alignment/>
    </xf>
    <xf numFmtId="1" fontId="22" fillId="0" borderId="7" xfId="0" applyNumberFormat="1" applyFont="1" applyFill="1" applyBorder="1" applyAlignment="1">
      <alignment/>
    </xf>
    <xf numFmtId="1" fontId="22" fillId="0" borderId="7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66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" fontId="1" fillId="0" borderId="9" xfId="0" applyNumberFormat="1" applyFont="1" applyFill="1" applyBorder="1" applyAlignment="1">
      <alignment/>
    </xf>
    <xf numFmtId="2" fontId="45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" fontId="47" fillId="0" borderId="11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0" fontId="32" fillId="0" borderId="0" xfId="0" applyFont="1" applyAlignment="1">
      <alignment/>
    </xf>
    <xf numFmtId="2" fontId="9" fillId="0" borderId="0" xfId="0" applyNumberFormat="1" applyFont="1" applyBorder="1" applyAlignment="1">
      <alignment horizontal="right"/>
    </xf>
    <xf numFmtId="168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2" fontId="9" fillId="0" borderId="0" xfId="0" applyNumberFormat="1" applyFont="1" applyBorder="1" applyAlignment="1">
      <alignment horizontal="left"/>
    </xf>
    <xf numFmtId="0" fontId="48" fillId="3" borderId="0" xfId="0" applyFont="1" applyFill="1" applyBorder="1" applyAlignment="1">
      <alignment/>
    </xf>
    <xf numFmtId="164" fontId="49" fillId="3" borderId="0" xfId="0" applyNumberFormat="1" applyFont="1" applyFill="1" applyBorder="1" applyAlignment="1">
      <alignment/>
    </xf>
    <xf numFmtId="0" fontId="49" fillId="3" borderId="0" xfId="0" applyFont="1" applyFill="1" applyBorder="1" applyAlignment="1">
      <alignment/>
    </xf>
    <xf numFmtId="168" fontId="50" fillId="3" borderId="0" xfId="0" applyNumberFormat="1" applyFont="1" applyFill="1" applyBorder="1" applyAlignment="1">
      <alignment/>
    </xf>
    <xf numFmtId="168" fontId="49" fillId="3" borderId="0" xfId="0" applyNumberFormat="1" applyFont="1" applyFill="1" applyBorder="1" applyAlignment="1">
      <alignment/>
    </xf>
    <xf numFmtId="167" fontId="49" fillId="3" borderId="0" xfId="0" applyNumberFormat="1" applyFont="1" applyFill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left"/>
      <protection locked="0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 % à V2 constant et V1 variable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915"/>
          <c:w val="0.7565"/>
          <c:h val="0.679"/>
        </c:manualLayout>
      </c:layout>
      <c:lineChart>
        <c:grouping val="standard"/>
        <c:varyColors val="0"/>
        <c:ser>
          <c:idx val="0"/>
          <c:order val="0"/>
          <c:tx>
            <c:strRef>
              <c:f>'Helice théorie'!$C$5</c:f>
              <c:strCache>
                <c:ptCount val="1"/>
                <c:pt idx="0">
                  <c:v>P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'Helice théorie'!$B$6:$B$13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'Helice théorie'!$C$6:$C$13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67090114"/>
        <c:axId val="66565115"/>
      </c:lineChart>
      <c:catAx>
        <c:axId val="67090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V1 / V2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6565115"/>
        <c:crosses val="autoZero"/>
        <c:auto val="1"/>
        <c:lblOffset val="100"/>
        <c:noMultiLvlLbl val="0"/>
      </c:catAx>
      <c:valAx>
        <c:axId val="66565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90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25"/>
          <c:y val="0.48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Degré de vitesse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Degré de vitesse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'PAS &amp; DIAMETRE'!$F$45:$F$54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'PAS &amp; DIAMETRE'!$G$45:$G$54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1340144"/>
        <c:axId val="12469169"/>
      </c:lineChart>
      <c:catAx>
        <c:axId val="51340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2469169"/>
        <c:crosses val="autoZero"/>
        <c:auto val="1"/>
        <c:lblOffset val="100"/>
        <c:noMultiLvlLbl val="0"/>
      </c:catAx>
      <c:valAx>
        <c:axId val="12469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3401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comaparatif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linéaire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'Estimation des efforts'!$B$107:$B$132</c:f>
              <c:numCache/>
            </c:numRef>
          </c:cat>
          <c:val>
            <c:numRef>
              <c:f>'Estimation des efforts'!$H$107:$H$132</c:f>
              <c:numCache/>
            </c:numRef>
          </c:val>
          <c:smooth val="0"/>
        </c:ser>
        <c:ser>
          <c:idx val="1"/>
          <c:order val="1"/>
          <c:tx>
            <c:v>hélice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'Estimation des efforts'!$B$107:$B$132</c:f>
              <c:numCache/>
            </c:numRef>
          </c:cat>
          <c:val>
            <c:numRef>
              <c:f>'Estimation des efforts'!$Q$74:$Q$99</c:f>
              <c:numCache/>
            </c:numRef>
          </c:val>
          <c:smooth val="0"/>
        </c:ser>
        <c:ser>
          <c:idx val="2"/>
          <c:order val="2"/>
          <c:tx>
            <c:v>Pmot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'Estimation des efforts'!$B$107:$B$132</c:f>
              <c:numCache/>
            </c:numRef>
          </c:cat>
          <c:val>
            <c:numRef>
              <c:f>'Estimation des efforts'!$D$107:$D$132</c:f>
              <c:numCache/>
            </c:numRef>
          </c:val>
          <c:smooth val="0"/>
        </c:ser>
        <c:ser>
          <c:idx val="3"/>
          <c:order val="3"/>
          <c:tx>
            <c:v>Parbre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'Estimation des efforts'!$B$107:$B$132</c:f>
              <c:numCache/>
            </c:numRef>
          </c:cat>
          <c:val>
            <c:numRef>
              <c:f>'Estimation des efforts'!$D$74:$D$99</c:f>
              <c:numCache/>
            </c:numRef>
          </c:val>
          <c:smooth val="0"/>
        </c:ser>
        <c:axId val="26061582"/>
        <c:axId val="17588375"/>
      </c:lineChart>
      <c:catAx>
        <c:axId val="26061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Tours moteur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88375"/>
        <c:crosses val="autoZero"/>
        <c:auto val="1"/>
        <c:lblOffset val="100"/>
        <c:noMultiLvlLbl val="0"/>
      </c:catAx>
      <c:valAx>
        <c:axId val="17588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Puissances estimées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615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15</xdr:row>
      <xdr:rowOff>9525</xdr:rowOff>
    </xdr:from>
    <xdr:to>
      <xdr:col>5</xdr:col>
      <xdr:colOff>457200</xdr:colOff>
      <xdr:row>30</xdr:row>
      <xdr:rowOff>104775</xdr:rowOff>
    </xdr:to>
    <xdr:graphicFrame>
      <xdr:nvGraphicFramePr>
        <xdr:cNvPr id="1" name="Chart 3"/>
        <xdr:cNvGraphicFramePr/>
      </xdr:nvGraphicFramePr>
      <xdr:xfrm>
        <a:off x="200025" y="2438400"/>
        <a:ext cx="40671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209550</xdr:rowOff>
    </xdr:from>
    <xdr:to>
      <xdr:col>17</xdr:col>
      <xdr:colOff>19050</xdr:colOff>
      <xdr:row>38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209550"/>
          <a:ext cx="6115050" cy="530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43</xdr:row>
      <xdr:rowOff>133350</xdr:rowOff>
    </xdr:from>
    <xdr:to>
      <xdr:col>17</xdr:col>
      <xdr:colOff>9525</xdr:colOff>
      <xdr:row>81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6419850"/>
          <a:ext cx="6105525" cy="531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41</xdr:row>
      <xdr:rowOff>57150</xdr:rowOff>
    </xdr:from>
    <xdr:to>
      <xdr:col>7</xdr:col>
      <xdr:colOff>161925</xdr:colOff>
      <xdr:row>73</xdr:row>
      <xdr:rowOff>95250</xdr:rowOff>
    </xdr:to>
    <xdr:graphicFrame>
      <xdr:nvGraphicFramePr>
        <xdr:cNvPr id="3" name="Chart 7"/>
        <xdr:cNvGraphicFramePr/>
      </xdr:nvGraphicFramePr>
      <xdr:xfrm>
        <a:off x="561975" y="6029325"/>
        <a:ext cx="752475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105</xdr:row>
      <xdr:rowOff>0</xdr:rowOff>
    </xdr:from>
    <xdr:to>
      <xdr:col>26</xdr:col>
      <xdr:colOff>285750</xdr:colOff>
      <xdr:row>133</xdr:row>
      <xdr:rowOff>142875</xdr:rowOff>
    </xdr:to>
    <xdr:graphicFrame>
      <xdr:nvGraphicFramePr>
        <xdr:cNvPr id="1" name="Chart 1"/>
        <xdr:cNvGraphicFramePr/>
      </xdr:nvGraphicFramePr>
      <xdr:xfrm>
        <a:off x="2962275" y="12992100"/>
        <a:ext cx="587692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ramontane.homeip.net/cardabela/conception-helice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:C1"/>
    </sheetView>
  </sheetViews>
  <sheetFormatPr defaultColWidth="11.421875" defaultRowHeight="12.75"/>
  <cols>
    <col min="1" max="1" width="11.421875" style="2" customWidth="1"/>
    <col min="2" max="2" width="11.421875" style="1" customWidth="1"/>
    <col min="3" max="4" width="11.421875" style="5" customWidth="1"/>
  </cols>
  <sheetData>
    <row r="1" ht="12.75">
      <c r="A1" s="2" t="s">
        <v>0</v>
      </c>
    </row>
    <row r="2" ht="12.75">
      <c r="B2" s="1" t="s">
        <v>17</v>
      </c>
    </row>
    <row r="3" spans="1:2" ht="12.75">
      <c r="A3" s="2" t="s">
        <v>1</v>
      </c>
      <c r="B3" s="11" t="s">
        <v>18</v>
      </c>
    </row>
    <row r="4" ht="12.75">
      <c r="B4" s="11" t="s">
        <v>19</v>
      </c>
    </row>
    <row r="5" spans="1:4" ht="12.75">
      <c r="A5" s="3" t="s">
        <v>2</v>
      </c>
      <c r="B5" s="4" t="s">
        <v>3</v>
      </c>
      <c r="C5" s="14" t="s">
        <v>21</v>
      </c>
      <c r="D5" s="13" t="s">
        <v>20</v>
      </c>
    </row>
    <row r="6" spans="2:3" ht="12.75">
      <c r="B6" s="10">
        <v>0</v>
      </c>
      <c r="C6" s="17">
        <f aca="true" t="shared" si="0" ref="C6:C15">(1-B6)*(1+B6)*(1+B6)</f>
        <v>1</v>
      </c>
    </row>
    <row r="7" spans="1:4" ht="12.75">
      <c r="A7" s="2">
        <v>9</v>
      </c>
      <c r="B7" s="10">
        <f aca="true" t="shared" si="1" ref="B7:B12">1/A7</f>
        <v>0.1111111111111111</v>
      </c>
      <c r="C7" s="17">
        <f t="shared" si="0"/>
        <v>1.0973936899862826</v>
      </c>
      <c r="D7" s="5">
        <f aca="true" t="shared" si="2" ref="D7:D15">A7*A7*A7*(1-B7)*(1+B7)*(1+B7)</f>
        <v>800</v>
      </c>
    </row>
    <row r="8" spans="1:4" ht="12.75">
      <c r="A8" s="2">
        <v>6</v>
      </c>
      <c r="B8" s="10">
        <f t="shared" si="1"/>
        <v>0.16666666666666666</v>
      </c>
      <c r="C8" s="17">
        <f t="shared" si="0"/>
        <v>1.1342592592592595</v>
      </c>
      <c r="D8" s="5">
        <f t="shared" si="2"/>
        <v>245.00000000000003</v>
      </c>
    </row>
    <row r="9" spans="1:5" ht="12.75">
      <c r="A9" s="6">
        <v>3</v>
      </c>
      <c r="B9" s="15">
        <f t="shared" si="1"/>
        <v>0.3333333333333333</v>
      </c>
      <c r="C9" s="18">
        <f t="shared" si="0"/>
        <v>1.1851851851851851</v>
      </c>
      <c r="D9" s="7">
        <f t="shared" si="2"/>
        <v>32</v>
      </c>
      <c r="E9" t="s">
        <v>4</v>
      </c>
    </row>
    <row r="10" spans="1:4" ht="12.75">
      <c r="A10" s="6">
        <v>2.5</v>
      </c>
      <c r="B10" s="15">
        <f t="shared" si="1"/>
        <v>0.4</v>
      </c>
      <c r="C10" s="18">
        <f t="shared" si="0"/>
        <v>1.176</v>
      </c>
      <c r="D10" s="7">
        <f t="shared" si="2"/>
        <v>18.375</v>
      </c>
    </row>
    <row r="11" spans="1:5" ht="12.75">
      <c r="A11" s="6">
        <v>2</v>
      </c>
      <c r="B11" s="15">
        <f t="shared" si="1"/>
        <v>0.5</v>
      </c>
      <c r="C11" s="18">
        <f t="shared" si="0"/>
        <v>1.125</v>
      </c>
      <c r="D11" s="7">
        <f t="shared" si="2"/>
        <v>9</v>
      </c>
      <c r="E11" t="s">
        <v>5</v>
      </c>
    </row>
    <row r="12" spans="1:5" ht="12.75">
      <c r="A12" s="6">
        <v>1.5</v>
      </c>
      <c r="B12" s="15">
        <f t="shared" si="1"/>
        <v>0.6666666666666666</v>
      </c>
      <c r="C12" s="18">
        <f t="shared" si="0"/>
        <v>0.9259259259259259</v>
      </c>
      <c r="D12" s="7">
        <f t="shared" si="2"/>
        <v>3.125</v>
      </c>
      <c r="E12" t="s">
        <v>29</v>
      </c>
    </row>
    <row r="13" spans="1:4" ht="12.75">
      <c r="A13" s="6">
        <f>1/B13</f>
        <v>1.0526315789473684</v>
      </c>
      <c r="B13" s="15">
        <v>0.95</v>
      </c>
      <c r="C13" s="18">
        <f t="shared" si="0"/>
        <v>0.19012500000000015</v>
      </c>
      <c r="D13" s="7">
        <f t="shared" si="2"/>
        <v>0.22175244204694575</v>
      </c>
    </row>
    <row r="14" spans="1:4" ht="12.75">
      <c r="A14" s="8">
        <f>1/B14</f>
        <v>1.000100010001</v>
      </c>
      <c r="B14" s="16">
        <v>0.9999</v>
      </c>
      <c r="C14" s="19">
        <f t="shared" si="0"/>
        <v>0.00039996000099995596</v>
      </c>
      <c r="D14" s="9">
        <f t="shared" si="2"/>
        <v>0.0004000800130018562</v>
      </c>
    </row>
    <row r="15" spans="1:5" ht="12.75">
      <c r="A15" s="8">
        <f>1/B15</f>
        <v>1</v>
      </c>
      <c r="B15" s="16">
        <v>1</v>
      </c>
      <c r="C15" s="19">
        <f t="shared" si="0"/>
        <v>0</v>
      </c>
      <c r="D15" s="9">
        <f t="shared" si="2"/>
        <v>0</v>
      </c>
      <c r="E15" t="s">
        <v>6</v>
      </c>
    </row>
  </sheetData>
  <sheetProtection sheet="1" objects="1" scenarios="1"/>
  <printOptions/>
  <pageMargins left="0.75" right="0.75" top="1" bottom="1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36.57421875" style="53" customWidth="1"/>
    <col min="2" max="2" width="5.28125" style="51" customWidth="1"/>
    <col min="3" max="3" width="4.00390625" style="51" customWidth="1"/>
    <col min="4" max="4" width="54.57421875" style="43" customWidth="1"/>
    <col min="5" max="5" width="6.140625" style="52" bestFit="1" customWidth="1"/>
    <col min="6" max="6" width="4.8515625" style="53" bestFit="1" customWidth="1"/>
    <col min="7" max="7" width="7.421875" style="53" bestFit="1" customWidth="1"/>
    <col min="8" max="16384" width="11.421875" style="53" customWidth="1"/>
  </cols>
  <sheetData>
    <row r="1" ht="18">
      <c r="A1" s="38" t="s">
        <v>30</v>
      </c>
    </row>
    <row r="2" ht="11.25">
      <c r="A2" s="53" t="s">
        <v>31</v>
      </c>
    </row>
    <row r="3" ht="11.25">
      <c r="A3" s="53" t="s">
        <v>32</v>
      </c>
    </row>
    <row r="4" ht="11.25">
      <c r="A4" s="54" t="s">
        <v>84</v>
      </c>
    </row>
    <row r="5" ht="11.25">
      <c r="A5" s="55" t="s">
        <v>41</v>
      </c>
    </row>
    <row r="6" spans="1:3" ht="11.25">
      <c r="A6" s="43" t="s">
        <v>35</v>
      </c>
      <c r="B6" s="44">
        <v>13</v>
      </c>
      <c r="C6" s="44"/>
    </row>
    <row r="7" spans="1:5" ht="11.25">
      <c r="A7" s="43" t="s">
        <v>36</v>
      </c>
      <c r="B7" s="44">
        <v>3.6</v>
      </c>
      <c r="C7" s="44"/>
      <c r="D7" s="43" t="s">
        <v>66</v>
      </c>
      <c r="E7" s="56">
        <f>B7/B6</f>
        <v>0.27692307692307694</v>
      </c>
    </row>
    <row r="8" spans="1:6" ht="11.25">
      <c r="A8" s="57"/>
      <c r="D8" s="66" t="s">
        <v>90</v>
      </c>
      <c r="E8" s="67">
        <f>1.33*E14/E13</f>
        <v>1.1626516112880803</v>
      </c>
      <c r="F8" s="69">
        <f>IF(E8&gt;1.18,"Inférieur à 1,18 recommandé","")</f>
      </c>
    </row>
    <row r="9" spans="1:4" ht="11.25">
      <c r="A9" s="43" t="s">
        <v>110</v>
      </c>
      <c r="B9" s="44">
        <v>75</v>
      </c>
      <c r="D9" s="68" t="s">
        <v>91</v>
      </c>
    </row>
    <row r="10" spans="1:4" ht="11.25">
      <c r="A10" s="43" t="s">
        <v>33</v>
      </c>
      <c r="B10" s="44">
        <f>B9*0.95</f>
        <v>71.25</v>
      </c>
      <c r="C10" s="44"/>
      <c r="D10" s="68" t="s">
        <v>92</v>
      </c>
    </row>
    <row r="11" spans="1:5" ht="11.25">
      <c r="A11" s="43" t="s">
        <v>34</v>
      </c>
      <c r="B11" s="44">
        <v>0</v>
      </c>
      <c r="C11" s="44"/>
      <c r="D11" s="43" t="s">
        <v>38</v>
      </c>
      <c r="E11" s="56">
        <f>IF(B11,B11,B10*0.735)</f>
        <v>52.36875</v>
      </c>
    </row>
    <row r="12" spans="1:7" ht="11.25">
      <c r="A12" s="43" t="s">
        <v>37</v>
      </c>
      <c r="B12" s="44">
        <v>15</v>
      </c>
      <c r="C12" s="44"/>
      <c r="D12" s="43" t="s">
        <v>39</v>
      </c>
      <c r="E12" s="56">
        <f>E11/(0.735*B12)</f>
        <v>4.75</v>
      </c>
      <c r="G12" s="68" t="s">
        <v>95</v>
      </c>
    </row>
    <row r="13" spans="1:7" ht="11.25">
      <c r="A13" s="58" t="s">
        <v>89</v>
      </c>
      <c r="B13" s="81">
        <v>8</v>
      </c>
      <c r="C13" s="44"/>
      <c r="D13" s="58" t="s">
        <v>40</v>
      </c>
      <c r="E13" s="59">
        <f>1.33*SQRT(B6)/0.524</f>
        <v>9.151494649555545</v>
      </c>
      <c r="G13" s="71">
        <f>(4.5/1.852)*SQRT(B6)</f>
        <v>8.76078873627859</v>
      </c>
    </row>
    <row r="14" spans="4:5" ht="11.25">
      <c r="D14" s="46" t="s">
        <v>44</v>
      </c>
      <c r="E14" s="47">
        <f>IF(B13,B13,E13*SQRT(E12/5))</f>
        <v>8</v>
      </c>
    </row>
    <row r="15" spans="4:5" ht="11.25">
      <c r="D15" s="46" t="s">
        <v>45</v>
      </c>
      <c r="E15" s="47">
        <f>E14*0.8</f>
        <v>6.4</v>
      </c>
    </row>
    <row r="16" spans="4:6" ht="11.25">
      <c r="D16" s="43" t="s">
        <v>46</v>
      </c>
      <c r="E16" s="56">
        <f>E15*2*(1852/3600)</f>
        <v>6.58488888888889</v>
      </c>
      <c r="F16" s="53" t="str">
        <f>IF(E16&lt;20,"pas de problème de cavitation","problème de cavitation")</f>
        <v>pas de problème de cavitation</v>
      </c>
    </row>
    <row r="17" spans="1:7" ht="11.25">
      <c r="A17" s="43" t="s">
        <v>43</v>
      </c>
      <c r="B17" s="294">
        <f>1/2.15</f>
        <v>0.46511627906976744</v>
      </c>
      <c r="C17" s="60"/>
      <c r="D17" s="46" t="s">
        <v>48</v>
      </c>
      <c r="E17" s="61">
        <f>SQRT(E11*8/(6.28*E16*E16*E16))</f>
        <v>0.483368782296987</v>
      </c>
      <c r="F17" s="76">
        <f>E17/0.0254</f>
        <v>19.030267019566416</v>
      </c>
      <c r="G17" s="49" t="s">
        <v>49</v>
      </c>
    </row>
    <row r="18" spans="1:8" ht="11.25">
      <c r="A18" s="57" t="s">
        <v>42</v>
      </c>
      <c r="B18" s="65">
        <v>3600</v>
      </c>
      <c r="C18" s="44"/>
      <c r="D18" s="46" t="s">
        <v>47</v>
      </c>
      <c r="E18" s="47">
        <f>E16/((B18*B17/60)*(1-B19))</f>
        <v>0.32772016460905357</v>
      </c>
      <c r="F18" s="82">
        <f>E18/0.0254</f>
        <v>12.90236868539581</v>
      </c>
      <c r="G18" s="282" t="s">
        <v>49</v>
      </c>
      <c r="H18" s="77" t="str">
        <f>IF(F18/F17&gt;1.05," sûrement trop grand, changer B13","ok")</f>
        <v>ok</v>
      </c>
    </row>
    <row r="19" spans="1:8" ht="11.25">
      <c r="A19" s="43" t="s">
        <v>87</v>
      </c>
      <c r="B19" s="60">
        <v>0.28</v>
      </c>
      <c r="C19" s="79" t="str">
        <f>IF(B19&lt;0.25,"0,27 à 0,33","ok")</f>
        <v>ok</v>
      </c>
      <c r="D19" s="74" t="s">
        <v>99</v>
      </c>
      <c r="E19" s="75">
        <f>E16/((B18*B17/60)*(1-B20))</f>
        <v>0.3304741155721549</v>
      </c>
      <c r="F19" s="76">
        <f>E19/0.0254</f>
        <v>13.010791951659641</v>
      </c>
      <c r="G19" s="49" t="s">
        <v>49</v>
      </c>
      <c r="H19" s="77" t="str">
        <f>IF(F19/F17&gt;1.05," sûrement trop grand, changer B12","ok")</f>
        <v>ok</v>
      </c>
    </row>
    <row r="20" spans="1:5" ht="11.25">
      <c r="A20" s="73" t="s">
        <v>98</v>
      </c>
      <c r="B20" s="60">
        <v>0.286</v>
      </c>
      <c r="C20" s="79" t="str">
        <f>IF(B20&lt;0.25,"0,27 à 0,33","ok")</f>
        <v>ok</v>
      </c>
      <c r="D20" s="46" t="s">
        <v>104</v>
      </c>
      <c r="E20" s="47">
        <f>(B20*100)/(((B18/60)*B17*E18)*(3600/1852)-E15)</f>
        <v>2.513671874999999</v>
      </c>
    </row>
    <row r="21" spans="1:8" ht="11.25">
      <c r="A21" s="43" t="s">
        <v>85</v>
      </c>
      <c r="B21" s="44">
        <v>0.54</v>
      </c>
      <c r="C21" s="45">
        <f>B21/0.0254</f>
        <v>21.25984251968504</v>
      </c>
      <c r="D21" s="46" t="s">
        <v>86</v>
      </c>
      <c r="E21" s="47">
        <f>E17*1.2</f>
        <v>0.5800425387563843</v>
      </c>
      <c r="F21" s="48">
        <f>E21/0.0254</f>
        <v>22.836320423479698</v>
      </c>
      <c r="G21" s="49" t="s">
        <v>49</v>
      </c>
      <c r="H21" s="77" t="str">
        <f>IF(E21&gt;1.05*B21,"Hélice trop grande","ok")</f>
        <v>Hélice trop grande</v>
      </c>
    </row>
    <row r="22" ht="11.25">
      <c r="A22" s="62" t="s">
        <v>88</v>
      </c>
    </row>
    <row r="23" ht="11.25">
      <c r="A23" s="78" t="s">
        <v>101</v>
      </c>
    </row>
    <row r="24" ht="11.25">
      <c r="A24" s="63" t="s">
        <v>100</v>
      </c>
    </row>
    <row r="25" ht="11.25">
      <c r="A25" s="64" t="s">
        <v>65</v>
      </c>
    </row>
    <row r="26" ht="11.25"/>
    <row r="27" ht="11.25">
      <c r="A27" s="50" t="s">
        <v>103</v>
      </c>
    </row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3" spans="6:10" ht="11.25">
      <c r="F43" s="70" t="s">
        <v>94</v>
      </c>
      <c r="G43" s="70" t="s">
        <v>93</v>
      </c>
      <c r="J43" s="72" t="s">
        <v>97</v>
      </c>
    </row>
    <row r="44" spans="6:10" ht="11.25">
      <c r="F44" s="70">
        <v>0</v>
      </c>
      <c r="G44" s="70">
        <f>1.33*F44/E13</f>
        <v>0</v>
      </c>
      <c r="J44" s="72" t="s">
        <v>96</v>
      </c>
    </row>
    <row r="45" spans="6:7" ht="11.25">
      <c r="F45" s="70">
        <v>1</v>
      </c>
      <c r="G45" s="70">
        <f>1.33*F45/E13</f>
        <v>0.14533145141101003</v>
      </c>
    </row>
    <row r="46" spans="6:7" ht="11.25">
      <c r="F46" s="70">
        <v>2</v>
      </c>
      <c r="G46" s="70">
        <f>1.33*F46/E13</f>
        <v>0.29066290282202006</v>
      </c>
    </row>
    <row r="47" spans="6:7" ht="11.25">
      <c r="F47" s="70">
        <v>3</v>
      </c>
      <c r="G47" s="70">
        <f>1.33*F47/E13</f>
        <v>0.4359943542330301</v>
      </c>
    </row>
    <row r="48" spans="6:7" ht="11.25">
      <c r="F48" s="70">
        <v>4</v>
      </c>
      <c r="G48" s="70">
        <f>1.33*F48/E13</f>
        <v>0.5813258056440401</v>
      </c>
    </row>
    <row r="49" spans="6:7" ht="11.25">
      <c r="F49" s="70">
        <v>5</v>
      </c>
      <c r="G49" s="70">
        <f>1.33*F49/E13</f>
        <v>0.7266572570550502</v>
      </c>
    </row>
    <row r="50" spans="6:7" ht="11.25">
      <c r="F50" s="70">
        <v>6</v>
      </c>
      <c r="G50" s="70">
        <f>1.33*F50/E13</f>
        <v>0.8719887084660602</v>
      </c>
    </row>
    <row r="51" spans="6:7" ht="11.25">
      <c r="F51" s="70">
        <v>7</v>
      </c>
      <c r="G51" s="70">
        <f>1.33*F51/E13</f>
        <v>1.0173201598770703</v>
      </c>
    </row>
    <row r="52" spans="6:7" ht="11.25">
      <c r="F52" s="70">
        <v>8</v>
      </c>
      <c r="G52" s="70">
        <f>1.33*F52/E13</f>
        <v>1.1626516112880803</v>
      </c>
    </row>
    <row r="53" spans="6:7" ht="11.25">
      <c r="F53" s="70">
        <v>9</v>
      </c>
      <c r="G53" s="70">
        <f>1.33*F53/E13</f>
        <v>1.3079830626990905</v>
      </c>
    </row>
    <row r="54" spans="6:7" ht="11.25">
      <c r="F54" s="70">
        <v>10</v>
      </c>
      <c r="G54" s="70">
        <f>1.33*F54/E13</f>
        <v>1.4533145141101005</v>
      </c>
    </row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  <row r="81" ht="11.25"/>
  </sheetData>
  <sheetProtection sheet="1" objects="1" scenarios="1"/>
  <hyperlinks>
    <hyperlink ref="A4" r:id="rId1" display="Pour plus d'informations consultez le site : http://tramontane.homeip.net/cardabela/conception-helice.html"/>
  </hyperlinks>
  <printOptions/>
  <pageMargins left="0.75" right="0.75" top="1" bottom="1" header="0.4921259845" footer="0.4921259845"/>
  <pageSetup orientation="landscape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35"/>
  <sheetViews>
    <sheetView workbookViewId="0" topLeftCell="A1">
      <selection activeCell="A1" sqref="A1:P1"/>
    </sheetView>
  </sheetViews>
  <sheetFormatPr defaultColWidth="11.421875" defaultRowHeight="12.75"/>
  <cols>
    <col min="1" max="1" width="10.57421875" style="28" customWidth="1"/>
    <col min="2" max="2" width="10.00390625" style="31" customWidth="1"/>
    <col min="3" max="3" width="5.57421875" style="29" hidden="1" customWidth="1"/>
    <col min="4" max="4" width="6.00390625" style="31" customWidth="1"/>
    <col min="5" max="5" width="6.00390625" style="35" hidden="1" customWidth="1"/>
    <col min="6" max="6" width="7.57421875" style="29" customWidth="1"/>
    <col min="7" max="7" width="6.57421875" style="30" hidden="1" customWidth="1"/>
    <col min="8" max="8" width="9.28125" style="30" customWidth="1"/>
    <col min="9" max="9" width="8.140625" style="29" customWidth="1"/>
    <col min="10" max="11" width="4.57421875" style="29" hidden="1" customWidth="1"/>
    <col min="12" max="12" width="6.140625" style="36" bestFit="1" customWidth="1"/>
    <col min="13" max="13" width="8.140625" style="29" customWidth="1"/>
    <col min="14" max="15" width="6.00390625" style="32" hidden="1" customWidth="1"/>
    <col min="16" max="16" width="9.28125" style="12" customWidth="1"/>
    <col min="17" max="17" width="6.7109375" style="12" customWidth="1"/>
    <col min="18" max="18" width="6.140625" style="20" customWidth="1"/>
    <col min="19" max="19" width="6.140625" style="12" hidden="1" customWidth="1"/>
    <col min="20" max="20" width="9.140625" style="20" customWidth="1"/>
    <col min="21" max="21" width="8.7109375" style="25" hidden="1" customWidth="1"/>
    <col min="22" max="22" width="5.140625" style="20" hidden="1" customWidth="1"/>
    <col min="23" max="23" width="10.421875" style="36" bestFit="1" customWidth="1"/>
    <col min="24" max="24" width="6.57421875" style="12" customWidth="1"/>
    <col min="25" max="25" width="8.140625" style="20" customWidth="1"/>
    <col min="26" max="26" width="6.00390625" style="12" customWidth="1"/>
    <col min="27" max="27" width="9.28125" style="12" customWidth="1"/>
    <col min="28" max="28" width="6.7109375" style="12" customWidth="1"/>
    <col min="29" max="30" width="5.140625" style="12" customWidth="1"/>
    <col min="31" max="31" width="8.140625" style="12" customWidth="1"/>
    <col min="32" max="32" width="6.00390625" style="12" customWidth="1"/>
    <col min="33" max="33" width="9.28125" style="12" customWidth="1"/>
    <col min="34" max="34" width="6.7109375" style="12" customWidth="1"/>
    <col min="35" max="35" width="5.140625" style="12" customWidth="1"/>
    <col min="36" max="36" width="5.140625" style="28" customWidth="1"/>
    <col min="37" max="37" width="8.140625" style="28" customWidth="1"/>
    <col min="38" max="38" width="6.00390625" style="28" customWidth="1"/>
    <col min="39" max="39" width="9.28125" style="28" customWidth="1"/>
    <col min="40" max="40" width="6.7109375" style="28" customWidth="1"/>
    <col min="41" max="42" width="5.140625" style="28" customWidth="1"/>
    <col min="43" max="43" width="8.140625" style="28" customWidth="1"/>
    <col min="44" max="44" width="6.00390625" style="28" customWidth="1"/>
    <col min="45" max="45" width="9.28125" style="28" customWidth="1"/>
    <col min="46" max="46" width="6.7109375" style="28" customWidth="1"/>
    <col min="47" max="47" width="5.140625" style="28" customWidth="1"/>
    <col min="48" max="16384" width="11.421875" style="28" customWidth="1"/>
  </cols>
  <sheetData>
    <row r="1" spans="1:47" s="26" customFormat="1" ht="18">
      <c r="A1" s="39" t="s">
        <v>50</v>
      </c>
      <c r="B1" s="21"/>
      <c r="C1" s="22"/>
      <c r="E1" s="34"/>
      <c r="G1" s="23"/>
      <c r="I1" s="283" t="s">
        <v>118</v>
      </c>
      <c r="J1" s="22"/>
      <c r="K1" s="22"/>
      <c r="L1" s="284">
        <f>'PAS &amp; DIAMETRE'!F17</f>
        <v>19.030267019566416</v>
      </c>
      <c r="M1" s="285" t="s">
        <v>10</v>
      </c>
      <c r="N1" s="24"/>
      <c r="O1" s="24"/>
      <c r="P1" s="286">
        <f>'PAS &amp; DIAMETRE'!F19</f>
        <v>13.010791951659641</v>
      </c>
      <c r="Q1" s="22"/>
      <c r="R1" s="24"/>
      <c r="S1" s="25"/>
      <c r="T1" s="24"/>
      <c r="U1" s="25"/>
      <c r="V1" s="24"/>
      <c r="W1" s="24"/>
      <c r="X1" s="22"/>
      <c r="Y1" s="33"/>
      <c r="Z1" s="25"/>
      <c r="AA1" s="22"/>
      <c r="AB1" s="22"/>
      <c r="AC1" s="24"/>
      <c r="AD1" s="22"/>
      <c r="AE1" s="27"/>
      <c r="AF1" s="25"/>
      <c r="AG1" s="22"/>
      <c r="AH1" s="22"/>
      <c r="AI1" s="24"/>
      <c r="AJ1" s="22"/>
      <c r="AK1" s="27"/>
      <c r="AL1" s="25"/>
      <c r="AM1" s="22"/>
      <c r="AN1" s="22"/>
      <c r="AO1" s="24"/>
      <c r="AP1" s="22"/>
      <c r="AQ1" s="27"/>
      <c r="AR1" s="25"/>
      <c r="AS1" s="22"/>
      <c r="AT1" s="22"/>
      <c r="AU1" s="24"/>
    </row>
    <row r="2" spans="2:47" s="83" customFormat="1" ht="12.75">
      <c r="B2" s="84"/>
      <c r="C2" s="85"/>
      <c r="E2" s="86"/>
      <c r="F2" s="87" t="s">
        <v>58</v>
      </c>
      <c r="G2" s="88"/>
      <c r="H2" s="89">
        <f>'PAS &amp; DIAMETRE'!E11</f>
        <v>52.36875</v>
      </c>
      <c r="J2" s="85"/>
      <c r="K2" s="85"/>
      <c r="L2" s="90"/>
      <c r="N2" s="90"/>
      <c r="O2" s="90"/>
      <c r="Q2" s="85"/>
      <c r="R2" s="90"/>
      <c r="S2" s="91"/>
      <c r="T2" s="90"/>
      <c r="U2" s="91"/>
      <c r="V2" s="90"/>
      <c r="W2" s="90"/>
      <c r="X2" s="85"/>
      <c r="Y2" s="92"/>
      <c r="Z2" s="91"/>
      <c r="AA2" s="85"/>
      <c r="AB2" s="85"/>
      <c r="AC2" s="90"/>
      <c r="AD2" s="85"/>
      <c r="AE2" s="87"/>
      <c r="AF2" s="91"/>
      <c r="AG2" s="85"/>
      <c r="AH2" s="85"/>
      <c r="AI2" s="90"/>
      <c r="AJ2" s="85"/>
      <c r="AK2" s="87"/>
      <c r="AL2" s="91"/>
      <c r="AM2" s="85"/>
      <c r="AN2" s="85"/>
      <c r="AO2" s="90"/>
      <c r="AP2" s="85"/>
      <c r="AQ2" s="87"/>
      <c r="AR2" s="91"/>
      <c r="AS2" s="85"/>
      <c r="AT2" s="85"/>
      <c r="AU2" s="90"/>
    </row>
    <row r="3" spans="1:47" s="83" customFormat="1" ht="12.75">
      <c r="A3" s="93" t="s">
        <v>10</v>
      </c>
      <c r="B3" s="94">
        <f>'PAS &amp; DIAMETRE'!E19</f>
        <v>0.3304741155721549</v>
      </c>
      <c r="C3" s="85"/>
      <c r="E3" s="86"/>
      <c r="F3" s="95" t="s">
        <v>51</v>
      </c>
      <c r="G3" s="88"/>
      <c r="H3" s="96">
        <f>'PAS &amp; DIAMETRE'!B18</f>
        <v>3600</v>
      </c>
      <c r="I3" s="97" t="s">
        <v>59</v>
      </c>
      <c r="J3" s="98"/>
      <c r="K3" s="98"/>
      <c r="L3" s="99"/>
      <c r="M3" s="100"/>
      <c r="N3" s="99"/>
      <c r="O3" s="99"/>
      <c r="P3" s="100"/>
      <c r="Q3" s="98"/>
      <c r="R3" s="99"/>
      <c r="S3" s="101"/>
      <c r="T3" s="99"/>
      <c r="U3" s="101"/>
      <c r="V3" s="99"/>
      <c r="W3" s="99"/>
      <c r="X3" s="98"/>
      <c r="Y3" s="102"/>
      <c r="Z3" s="91"/>
      <c r="AA3" s="85"/>
      <c r="AB3" s="85"/>
      <c r="AC3" s="90"/>
      <c r="AD3" s="85"/>
      <c r="AE3" s="87"/>
      <c r="AF3" s="91"/>
      <c r="AG3" s="85"/>
      <c r="AH3" s="85"/>
      <c r="AI3" s="90"/>
      <c r="AJ3" s="85"/>
      <c r="AK3" s="87"/>
      <c r="AL3" s="91"/>
      <c r="AM3" s="85"/>
      <c r="AN3" s="85"/>
      <c r="AO3" s="90"/>
      <c r="AP3" s="85"/>
      <c r="AQ3" s="87"/>
      <c r="AR3" s="91"/>
      <c r="AS3" s="85"/>
      <c r="AT3" s="85"/>
      <c r="AU3" s="90"/>
    </row>
    <row r="4" spans="1:47" s="83" customFormat="1" ht="12.75">
      <c r="A4" s="80" t="s">
        <v>102</v>
      </c>
      <c r="B4" s="94">
        <f>'PAS &amp; DIAMETRE'!E20*'PAS &amp; DIAMETRE'!B19/'PAS &amp; DIAMETRE'!B20</f>
        <v>2.4609374999999996</v>
      </c>
      <c r="C4" s="103"/>
      <c r="E4" s="86"/>
      <c r="F4" s="104" t="s">
        <v>112</v>
      </c>
      <c r="G4" s="104"/>
      <c r="H4" s="105">
        <v>1000</v>
      </c>
      <c r="I4" s="97" t="s">
        <v>60</v>
      </c>
      <c r="J4" s="98"/>
      <c r="K4" s="98"/>
      <c r="L4" s="99"/>
      <c r="M4" s="100"/>
      <c r="N4" s="99"/>
      <c r="O4" s="99"/>
      <c r="P4" s="100"/>
      <c r="Q4" s="98"/>
      <c r="R4" s="99"/>
      <c r="S4" s="101"/>
      <c r="T4" s="99"/>
      <c r="U4" s="101"/>
      <c r="V4" s="99"/>
      <c r="W4" s="99"/>
      <c r="X4" s="100"/>
      <c r="Y4" s="106"/>
      <c r="Z4" s="107"/>
      <c r="AA4" s="85"/>
      <c r="AB4" s="85"/>
      <c r="AC4" s="90"/>
      <c r="AE4" s="104"/>
      <c r="AF4" s="107"/>
      <c r="AG4" s="85"/>
      <c r="AH4" s="85"/>
      <c r="AI4" s="90"/>
      <c r="AK4" s="104"/>
      <c r="AL4" s="107"/>
      <c r="AM4" s="85"/>
      <c r="AN4" s="85"/>
      <c r="AO4" s="90"/>
      <c r="AQ4" s="104"/>
      <c r="AR4" s="107"/>
      <c r="AS4" s="85"/>
      <c r="AT4" s="85"/>
      <c r="AU4" s="90"/>
    </row>
    <row r="5" spans="1:47" s="83" customFormat="1" ht="12.75">
      <c r="A5" s="93" t="s">
        <v>11</v>
      </c>
      <c r="B5" s="108">
        <f>'PAS &amp; DIAMETRE'!E17</f>
        <v>0.483368782296987</v>
      </c>
      <c r="C5" s="103"/>
      <c r="E5" s="86"/>
      <c r="F5" s="95" t="s">
        <v>13</v>
      </c>
      <c r="G5" s="88"/>
      <c r="H5" s="109">
        <f>3.14*B5*B5/4</f>
        <v>0.18341162306392852</v>
      </c>
      <c r="L5" s="90"/>
      <c r="N5" s="90"/>
      <c r="O5" s="90"/>
      <c r="R5" s="90"/>
      <c r="S5" s="91"/>
      <c r="T5" s="90"/>
      <c r="U5" s="91"/>
      <c r="V5" s="90"/>
      <c r="W5" s="90"/>
      <c r="Y5" s="92"/>
      <c r="Z5" s="110"/>
      <c r="AC5" s="90"/>
      <c r="AE5" s="95"/>
      <c r="AF5" s="110"/>
      <c r="AI5" s="90"/>
      <c r="AK5" s="95"/>
      <c r="AL5" s="110"/>
      <c r="AO5" s="90"/>
      <c r="AQ5" s="95"/>
      <c r="AR5" s="110"/>
      <c r="AU5" s="90"/>
    </row>
    <row r="6" spans="1:47" s="83" customFormat="1" ht="12.75">
      <c r="A6" s="93" t="s">
        <v>12</v>
      </c>
      <c r="B6" s="94">
        <f>'PAS &amp; DIAMETRE'!B19</f>
        <v>0.28</v>
      </c>
      <c r="C6" s="103"/>
      <c r="E6" s="86"/>
      <c r="F6" s="111" t="s">
        <v>113</v>
      </c>
      <c r="G6" s="104"/>
      <c r="H6" s="94">
        <f>H5*H4/2</f>
        <v>91.70581153196426</v>
      </c>
      <c r="I6" s="112" t="s">
        <v>114</v>
      </c>
      <c r="J6" s="112"/>
      <c r="K6" s="112"/>
      <c r="L6" s="90"/>
      <c r="N6" s="90"/>
      <c r="O6" s="90"/>
      <c r="Q6" s="113"/>
      <c r="R6" s="114"/>
      <c r="S6" s="115"/>
      <c r="T6" s="114"/>
      <c r="U6" s="115"/>
      <c r="V6" s="114"/>
      <c r="W6" s="114"/>
      <c r="Y6" s="116"/>
      <c r="Z6" s="113"/>
      <c r="AA6" s="112"/>
      <c r="AB6" s="113"/>
      <c r="AC6" s="114"/>
      <c r="AE6" s="111"/>
      <c r="AF6" s="113"/>
      <c r="AG6" s="112"/>
      <c r="AH6" s="113"/>
      <c r="AI6" s="114"/>
      <c r="AK6" s="111"/>
      <c r="AL6" s="113"/>
      <c r="AM6" s="112"/>
      <c r="AN6" s="113"/>
      <c r="AO6" s="114"/>
      <c r="AQ6" s="111"/>
      <c r="AR6" s="113"/>
      <c r="AS6" s="112"/>
      <c r="AT6" s="113"/>
      <c r="AU6" s="114"/>
    </row>
    <row r="7" spans="1:47" s="83" customFormat="1" ht="12.75">
      <c r="A7" s="117" t="s">
        <v>22</v>
      </c>
      <c r="B7" s="108">
        <f>'PAS &amp; DIAMETRE'!B17</f>
        <v>0.46511627906976744</v>
      </c>
      <c r="C7" s="103"/>
      <c r="E7" s="86"/>
      <c r="F7" s="117" t="s">
        <v>68</v>
      </c>
      <c r="G7" s="118"/>
      <c r="H7" s="119">
        <v>0.515</v>
      </c>
      <c r="I7" s="112" t="s">
        <v>15</v>
      </c>
      <c r="J7" s="112"/>
      <c r="K7" s="112"/>
      <c r="L7" s="90"/>
      <c r="N7" s="90"/>
      <c r="O7" s="90"/>
      <c r="Q7" s="112"/>
      <c r="R7" s="120"/>
      <c r="S7" s="112"/>
      <c r="T7" s="120"/>
      <c r="U7" s="112"/>
      <c r="V7" s="120"/>
      <c r="W7" s="120"/>
      <c r="Y7" s="121"/>
      <c r="Z7" s="113"/>
      <c r="AA7" s="112"/>
      <c r="AB7" s="112"/>
      <c r="AC7" s="120"/>
      <c r="AE7" s="122"/>
      <c r="AF7" s="113"/>
      <c r="AG7" s="112"/>
      <c r="AH7" s="112"/>
      <c r="AI7" s="120"/>
      <c r="AK7" s="122"/>
      <c r="AL7" s="113"/>
      <c r="AM7" s="112"/>
      <c r="AN7" s="112"/>
      <c r="AO7" s="120"/>
      <c r="AQ7" s="122"/>
      <c r="AR7" s="113"/>
      <c r="AS7" s="112"/>
      <c r="AT7" s="112"/>
      <c r="AU7" s="120"/>
    </row>
    <row r="8" spans="1:47" s="83" customFormat="1" ht="12.75">
      <c r="A8" s="117"/>
      <c r="B8" s="123"/>
      <c r="C8" s="123"/>
      <c r="E8" s="86"/>
      <c r="F8" s="117" t="s">
        <v>74</v>
      </c>
      <c r="G8" s="118"/>
      <c r="H8" s="124">
        <v>0.5</v>
      </c>
      <c r="I8" s="112"/>
      <c r="J8" s="112"/>
      <c r="K8" s="112"/>
      <c r="L8" s="90"/>
      <c r="N8" s="90"/>
      <c r="O8" s="90"/>
      <c r="Q8" s="112"/>
      <c r="R8" s="120"/>
      <c r="S8" s="112"/>
      <c r="T8" s="120"/>
      <c r="U8" s="112"/>
      <c r="V8" s="120"/>
      <c r="W8" s="120"/>
      <c r="Y8" s="121"/>
      <c r="Z8" s="113"/>
      <c r="AA8" s="112"/>
      <c r="AB8" s="112"/>
      <c r="AC8" s="120"/>
      <c r="AE8" s="122"/>
      <c r="AF8" s="113"/>
      <c r="AG8" s="112"/>
      <c r="AH8" s="112"/>
      <c r="AI8" s="120"/>
      <c r="AK8" s="122"/>
      <c r="AL8" s="113"/>
      <c r="AM8" s="112"/>
      <c r="AN8" s="112"/>
      <c r="AO8" s="120"/>
      <c r="AQ8" s="122"/>
      <c r="AR8" s="113"/>
      <c r="AS8" s="112"/>
      <c r="AT8" s="112"/>
      <c r="AU8" s="120"/>
    </row>
    <row r="9" spans="1:47" s="83" customFormat="1" ht="12.75">
      <c r="A9" s="125" t="s">
        <v>64</v>
      </c>
      <c r="B9" s="123"/>
      <c r="C9" s="123"/>
      <c r="E9" s="86"/>
      <c r="F9" s="122"/>
      <c r="G9" s="118"/>
      <c r="H9" s="113"/>
      <c r="I9" s="112"/>
      <c r="J9" s="112"/>
      <c r="K9" s="112"/>
      <c r="L9" s="90"/>
      <c r="N9" s="90"/>
      <c r="O9" s="90"/>
      <c r="Q9" s="112"/>
      <c r="R9" s="120"/>
      <c r="S9" s="112"/>
      <c r="T9" s="120"/>
      <c r="U9" s="112"/>
      <c r="V9" s="120"/>
      <c r="W9" s="120"/>
      <c r="Y9" s="121"/>
      <c r="Z9" s="113"/>
      <c r="AA9" s="112"/>
      <c r="AB9" s="112"/>
      <c r="AC9" s="120"/>
      <c r="AE9" s="122"/>
      <c r="AF9" s="113"/>
      <c r="AG9" s="112"/>
      <c r="AH9" s="112"/>
      <c r="AI9" s="120"/>
      <c r="AK9" s="122"/>
      <c r="AL9" s="113"/>
      <c r="AM9" s="112"/>
      <c r="AN9" s="112"/>
      <c r="AO9" s="120"/>
      <c r="AQ9" s="122"/>
      <c r="AR9" s="113"/>
      <c r="AS9" s="112"/>
      <c r="AT9" s="112"/>
      <c r="AU9" s="120"/>
    </row>
    <row r="10" spans="1:47" s="83" customFormat="1" ht="13.5" thickBot="1">
      <c r="A10" s="126" t="s">
        <v>61</v>
      </c>
      <c r="B10" s="100"/>
      <c r="C10" s="127"/>
      <c r="D10" s="128"/>
      <c r="E10" s="86"/>
      <c r="F10" s="127"/>
      <c r="G10" s="129"/>
      <c r="H10" s="130"/>
      <c r="I10" s="85"/>
      <c r="L10" s="87" t="s">
        <v>56</v>
      </c>
      <c r="M10" s="131">
        <f>'PAS &amp; DIAMETRE'!E15</f>
        <v>6.4</v>
      </c>
      <c r="N10" s="90"/>
      <c r="O10" s="90"/>
      <c r="Q10" s="132"/>
      <c r="R10" s="114"/>
      <c r="S10" s="115"/>
      <c r="T10" s="124" t="s">
        <v>83</v>
      </c>
      <c r="U10" s="115"/>
      <c r="V10" s="114"/>
      <c r="W10" s="114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</row>
    <row r="11" spans="2:47" s="134" customFormat="1" ht="13.5" thickBot="1">
      <c r="B11" s="135" t="s">
        <v>8</v>
      </c>
      <c r="C11" s="136" t="s">
        <v>52</v>
      </c>
      <c r="D11" s="137" t="s">
        <v>14</v>
      </c>
      <c r="E11" s="138" t="s">
        <v>53</v>
      </c>
      <c r="F11" s="136" t="s">
        <v>9</v>
      </c>
      <c r="G11" s="139" t="s">
        <v>57</v>
      </c>
      <c r="H11" s="139" t="s">
        <v>79</v>
      </c>
      <c r="I11" s="140" t="s">
        <v>78</v>
      </c>
      <c r="J11" s="141" t="s">
        <v>55</v>
      </c>
      <c r="K11" s="136" t="s">
        <v>63</v>
      </c>
      <c r="L11" s="142" t="s">
        <v>7</v>
      </c>
      <c r="M11" s="136" t="s">
        <v>82</v>
      </c>
      <c r="N11" s="142" t="s">
        <v>16</v>
      </c>
      <c r="O11" s="143" t="s">
        <v>115</v>
      </c>
      <c r="P11" s="144" t="s">
        <v>116</v>
      </c>
      <c r="Q11" s="145" t="s">
        <v>80</v>
      </c>
      <c r="R11" s="146" t="s">
        <v>23</v>
      </c>
      <c r="S11" s="147" t="s">
        <v>69</v>
      </c>
      <c r="T11" s="145" t="s">
        <v>76</v>
      </c>
      <c r="U11" s="148"/>
      <c r="V11" s="149" t="s">
        <v>117</v>
      </c>
      <c r="W11" s="146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</row>
    <row r="12" spans="2:47" s="134" customFormat="1" ht="12.75" hidden="1">
      <c r="B12" s="150"/>
      <c r="C12" s="151">
        <f>H2*1000/H3</f>
        <v>14.546875</v>
      </c>
      <c r="D12" s="152"/>
      <c r="E12" s="153">
        <f>B7</f>
        <v>0.46511627906976744</v>
      </c>
      <c r="F12" s="154"/>
      <c r="G12" s="155">
        <f>B3/60</f>
        <v>0.005507901926202582</v>
      </c>
      <c r="H12" s="155"/>
      <c r="I12" s="156"/>
      <c r="J12" s="157">
        <f>M10</f>
        <v>6.4</v>
      </c>
      <c r="K12" s="151">
        <f>B4</f>
        <v>2.4609374999999996</v>
      </c>
      <c r="L12" s="158"/>
      <c r="M12" s="154"/>
      <c r="N12" s="158"/>
      <c r="O12" s="159">
        <f>H6</f>
        <v>91.70581153196426</v>
      </c>
      <c r="P12" s="160"/>
      <c r="Q12" s="160"/>
      <c r="R12" s="161"/>
      <c r="S12" s="162">
        <f>H5</f>
        <v>0.18341162306392852</v>
      </c>
      <c r="T12" s="163"/>
      <c r="U12" s="164"/>
      <c r="V12" s="165">
        <f>9.81*H4*H8</f>
        <v>4905</v>
      </c>
      <c r="W12" s="161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</row>
    <row r="13" spans="2:47" s="166" customFormat="1" ht="12.75" hidden="1">
      <c r="B13" s="167">
        <v>0</v>
      </c>
      <c r="C13" s="168">
        <f>C12</f>
        <v>14.546875</v>
      </c>
      <c r="D13" s="169">
        <f>C13*B13</f>
        <v>0</v>
      </c>
      <c r="E13" s="170">
        <f>E12</f>
        <v>0.46511627906976744</v>
      </c>
      <c r="F13" s="168">
        <f>E13*B13</f>
        <v>0</v>
      </c>
      <c r="G13" s="171">
        <f>G12</f>
        <v>0.005507901926202582</v>
      </c>
      <c r="H13" s="171">
        <f>G13*F13</f>
        <v>0</v>
      </c>
      <c r="I13" s="172">
        <f aca="true" t="shared" si="0" ref="I13:I20">H13*(3600/1852)</f>
        <v>0</v>
      </c>
      <c r="J13" s="173">
        <f>J12</f>
        <v>6.4</v>
      </c>
      <c r="K13" s="168">
        <f>K12</f>
        <v>2.4609374999999996</v>
      </c>
      <c r="L13" s="174">
        <f>K13*(I13-J13)/100</f>
        <v>-0.15749999999999997</v>
      </c>
      <c r="M13" s="168">
        <f aca="true" t="shared" si="1" ref="M13:M19">(1-L13)*H13*(3600/1852)</f>
        <v>0</v>
      </c>
      <c r="N13" s="175">
        <f aca="true" t="shared" si="2" ref="N13:N19">2*M13-J13</f>
        <v>-6.4</v>
      </c>
      <c r="O13" s="175">
        <f>O12</f>
        <v>91.70581153196426</v>
      </c>
      <c r="P13" s="176">
        <f aca="true" t="shared" si="3" ref="P13:P19">O13*((N13-J13)*(1852/3600))*((N13+J13)*(1852/3600))</f>
        <v>0</v>
      </c>
      <c r="Q13" s="176">
        <f aca="true" t="shared" si="4" ref="Q13:Q19">(P13*((N13+J13)*(1852/3600))/2)</f>
        <v>0</v>
      </c>
      <c r="R13" s="177"/>
      <c r="S13" s="178">
        <f>S12</f>
        <v>0.18341162306392852</v>
      </c>
      <c r="T13" s="91">
        <f>IF(P13/(2*S13)&lt;0.8*V12+101500,P13/(2*S13),"Cavitation ?")</f>
        <v>0</v>
      </c>
      <c r="V13" s="179">
        <f aca="true" t="shared" si="5" ref="V13:V49">V12</f>
        <v>4905</v>
      </c>
      <c r="W13" s="180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</row>
    <row r="14" spans="2:47" s="166" customFormat="1" ht="12.75" hidden="1">
      <c r="B14" s="167">
        <v>100</v>
      </c>
      <c r="C14" s="168">
        <f>C13</f>
        <v>14.546875</v>
      </c>
      <c r="D14" s="169">
        <f>C14*B14</f>
        <v>1454.6875</v>
      </c>
      <c r="E14" s="170">
        <f aca="true" t="shared" si="6" ref="E14:E48">E13</f>
        <v>0.46511627906976744</v>
      </c>
      <c r="F14" s="168">
        <f aca="true" t="shared" si="7" ref="F14:F49">E14*B14</f>
        <v>46.51162790697674</v>
      </c>
      <c r="G14" s="171">
        <f aca="true" t="shared" si="8" ref="G14:G48">G13</f>
        <v>0.005507901926202582</v>
      </c>
      <c r="H14" s="171">
        <f aca="true" t="shared" si="9" ref="H14:H49">G14*F14</f>
        <v>0.2561814849396549</v>
      </c>
      <c r="I14" s="172">
        <f t="shared" si="0"/>
        <v>0.4979769685652039</v>
      </c>
      <c r="J14" s="173">
        <f>J13</f>
        <v>6.4</v>
      </c>
      <c r="K14" s="168">
        <f aca="true" t="shared" si="10" ref="K14:K49">K13</f>
        <v>2.4609374999999996</v>
      </c>
      <c r="L14" s="174">
        <f aca="true" t="shared" si="11" ref="L14:L49">K14*(I14-J14)/100</f>
        <v>-0.14524509803921568</v>
      </c>
      <c r="M14" s="168">
        <f t="shared" si="1"/>
        <v>0.5703056821857284</v>
      </c>
      <c r="N14" s="175">
        <f t="shared" si="2"/>
        <v>-5.259388635628543</v>
      </c>
      <c r="O14" s="175">
        <f>O13</f>
        <v>91.70581153196426</v>
      </c>
      <c r="P14" s="176">
        <f t="shared" si="3"/>
        <v>-322.7656391190086</v>
      </c>
      <c r="Q14" s="176">
        <f t="shared" si="4"/>
        <v>-94.69640123977327</v>
      </c>
      <c r="R14" s="177">
        <f aca="true" t="shared" si="12" ref="R14:R20">J14/M14</f>
        <v>11.222051962504814</v>
      </c>
      <c r="S14" s="178">
        <f aca="true" t="shared" si="13" ref="S14:S49">S13</f>
        <v>0.18341162306392852</v>
      </c>
      <c r="T14" s="91">
        <f aca="true" t="shared" si="14" ref="T14:T25">IF(P14/(2*S14)&lt;0.8*V14+101500,P14/(2*S14),"Cavitation ?")</f>
        <v>-879.8941793522756</v>
      </c>
      <c r="V14" s="179">
        <f t="shared" si="5"/>
        <v>4905</v>
      </c>
      <c r="W14" s="180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</row>
    <row r="15" spans="2:47" s="166" customFormat="1" ht="12.75" hidden="1">
      <c r="B15" s="167">
        <v>200</v>
      </c>
      <c r="C15" s="168">
        <f aca="true" t="shared" si="15" ref="C15:C48">C14</f>
        <v>14.546875</v>
      </c>
      <c r="D15" s="169">
        <f aca="true" t="shared" si="16" ref="D15:D49">C15*B15</f>
        <v>2909.375</v>
      </c>
      <c r="E15" s="170">
        <f t="shared" si="6"/>
        <v>0.46511627906976744</v>
      </c>
      <c r="F15" s="168">
        <f t="shared" si="7"/>
        <v>93.02325581395348</v>
      </c>
      <c r="G15" s="171">
        <f t="shared" si="8"/>
        <v>0.005507901926202582</v>
      </c>
      <c r="H15" s="171">
        <f t="shared" si="9"/>
        <v>0.5123629698793098</v>
      </c>
      <c r="I15" s="172">
        <f t="shared" si="0"/>
        <v>0.9959539371304078</v>
      </c>
      <c r="J15" s="173">
        <f aca="true" t="shared" si="17" ref="J15:J48">J14</f>
        <v>6.4</v>
      </c>
      <c r="K15" s="168">
        <f t="shared" si="10"/>
        <v>2.4609374999999996</v>
      </c>
      <c r="L15" s="174">
        <f t="shared" si="11"/>
        <v>-0.13299019607843135</v>
      </c>
      <c r="M15" s="168">
        <f t="shared" si="1"/>
        <v>1.1284060465144665</v>
      </c>
      <c r="N15" s="175">
        <f t="shared" si="2"/>
        <v>-4.143187906971067</v>
      </c>
      <c r="O15" s="175">
        <f aca="true" t="shared" si="18" ref="O15:O49">O14</f>
        <v>91.70581153196426</v>
      </c>
      <c r="P15" s="176">
        <f t="shared" si="3"/>
        <v>-577.4856125707588</v>
      </c>
      <c r="Q15" s="176">
        <f t="shared" si="4"/>
        <v>-335.23168110108793</v>
      </c>
      <c r="R15" s="177">
        <f t="shared" si="12"/>
        <v>5.671717215419893</v>
      </c>
      <c r="S15" s="178">
        <f t="shared" si="13"/>
        <v>0.18341162306392852</v>
      </c>
      <c r="T15" s="91">
        <f t="shared" si="14"/>
        <v>-1574.2884854398646</v>
      </c>
      <c r="V15" s="179">
        <f t="shared" si="5"/>
        <v>4905</v>
      </c>
      <c r="W15" s="180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</row>
    <row r="16" spans="2:47" s="166" customFormat="1" ht="12.75" hidden="1">
      <c r="B16" s="167">
        <v>300</v>
      </c>
      <c r="C16" s="168">
        <f t="shared" si="15"/>
        <v>14.546875</v>
      </c>
      <c r="D16" s="169">
        <f t="shared" si="16"/>
        <v>4364.0625</v>
      </c>
      <c r="E16" s="170">
        <f t="shared" si="6"/>
        <v>0.46511627906976744</v>
      </c>
      <c r="F16" s="168">
        <f t="shared" si="7"/>
        <v>139.53488372093022</v>
      </c>
      <c r="G16" s="171">
        <f t="shared" si="8"/>
        <v>0.005507901926202582</v>
      </c>
      <c r="H16" s="171">
        <f t="shared" si="9"/>
        <v>0.7685444548189648</v>
      </c>
      <c r="I16" s="172">
        <f t="shared" si="0"/>
        <v>1.4939309056956118</v>
      </c>
      <c r="J16" s="173">
        <f t="shared" si="17"/>
        <v>6.4</v>
      </c>
      <c r="K16" s="168">
        <f t="shared" si="10"/>
        <v>2.4609374999999996</v>
      </c>
      <c r="L16" s="174">
        <f t="shared" si="11"/>
        <v>-0.12073529411764705</v>
      </c>
      <c r="M16" s="168">
        <f t="shared" si="1"/>
        <v>1.6743010929862143</v>
      </c>
      <c r="N16" s="175">
        <f t="shared" si="2"/>
        <v>-3.0513978140275717</v>
      </c>
      <c r="O16" s="175">
        <f t="shared" si="18"/>
        <v>91.70581153196426</v>
      </c>
      <c r="P16" s="176">
        <f t="shared" si="3"/>
        <v>-768.1276901167638</v>
      </c>
      <c r="Q16" s="176">
        <f t="shared" si="4"/>
        <v>-661.6151837849604</v>
      </c>
      <c r="R16" s="177">
        <f t="shared" si="12"/>
        <v>3.822490486812754</v>
      </c>
      <c r="S16" s="178">
        <f t="shared" si="13"/>
        <v>0.18341162306392852</v>
      </c>
      <c r="T16" s="91">
        <f t="shared" si="14"/>
        <v>-2093.9994894681</v>
      </c>
      <c r="V16" s="179">
        <f t="shared" si="5"/>
        <v>4905</v>
      </c>
      <c r="W16" s="180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</row>
    <row r="17" spans="2:47" s="166" customFormat="1" ht="12.75" hidden="1">
      <c r="B17" s="167">
        <v>400</v>
      </c>
      <c r="C17" s="168">
        <f t="shared" si="15"/>
        <v>14.546875</v>
      </c>
      <c r="D17" s="169">
        <f t="shared" si="16"/>
        <v>5818.75</v>
      </c>
      <c r="E17" s="170">
        <f t="shared" si="6"/>
        <v>0.46511627906976744</v>
      </c>
      <c r="F17" s="168">
        <f t="shared" si="7"/>
        <v>186.04651162790697</v>
      </c>
      <c r="G17" s="171">
        <f t="shared" si="8"/>
        <v>0.005507901926202582</v>
      </c>
      <c r="H17" s="171">
        <f t="shared" si="9"/>
        <v>1.0247259397586197</v>
      </c>
      <c r="I17" s="172">
        <f t="shared" si="0"/>
        <v>1.9919078742608156</v>
      </c>
      <c r="J17" s="173">
        <f t="shared" si="17"/>
        <v>6.4</v>
      </c>
      <c r="K17" s="168">
        <f t="shared" si="10"/>
        <v>2.4609374999999996</v>
      </c>
      <c r="L17" s="174">
        <f t="shared" si="11"/>
        <v>-0.10848039215686273</v>
      </c>
      <c r="M17" s="168">
        <f t="shared" si="1"/>
        <v>2.207990821600972</v>
      </c>
      <c r="N17" s="175">
        <f t="shared" si="2"/>
        <v>-1.9840183567980567</v>
      </c>
      <c r="O17" s="175">
        <f t="shared" si="18"/>
        <v>91.70581153196426</v>
      </c>
      <c r="P17" s="176">
        <f t="shared" si="3"/>
        <v>-898.572868790514</v>
      </c>
      <c r="Q17" s="176">
        <f t="shared" si="4"/>
        <v>-1020.6786883131973</v>
      </c>
      <c r="R17" s="177">
        <f t="shared" si="12"/>
        <v>2.89856277362579</v>
      </c>
      <c r="S17" s="178">
        <f t="shared" si="13"/>
        <v>0.18341162306392852</v>
      </c>
      <c r="T17" s="91">
        <f t="shared" si="14"/>
        <v>-2449.6072107636123</v>
      </c>
      <c r="V17" s="179">
        <f t="shared" si="5"/>
        <v>4905</v>
      </c>
      <c r="W17" s="180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</row>
    <row r="18" spans="2:47" s="166" customFormat="1" ht="12.75" hidden="1">
      <c r="B18" s="167">
        <v>500</v>
      </c>
      <c r="C18" s="168">
        <f t="shared" si="15"/>
        <v>14.546875</v>
      </c>
      <c r="D18" s="169">
        <f t="shared" si="16"/>
        <v>7273.4375</v>
      </c>
      <c r="E18" s="170">
        <f t="shared" si="6"/>
        <v>0.46511627906976744</v>
      </c>
      <c r="F18" s="168">
        <f t="shared" si="7"/>
        <v>232.5581395348837</v>
      </c>
      <c r="G18" s="171">
        <f t="shared" si="8"/>
        <v>0.005507901926202582</v>
      </c>
      <c r="H18" s="171">
        <f t="shared" si="9"/>
        <v>1.2809074246982748</v>
      </c>
      <c r="I18" s="172">
        <f t="shared" si="0"/>
        <v>2.48988484282602</v>
      </c>
      <c r="J18" s="173">
        <f t="shared" si="17"/>
        <v>6.4</v>
      </c>
      <c r="K18" s="168">
        <f t="shared" si="10"/>
        <v>2.4609374999999996</v>
      </c>
      <c r="L18" s="174">
        <f t="shared" si="11"/>
        <v>-0.0962254901960784</v>
      </c>
      <c r="M18" s="168">
        <f t="shared" si="1"/>
        <v>2.7294752323587392</v>
      </c>
      <c r="N18" s="175">
        <f t="shared" si="2"/>
        <v>-0.9410495352825219</v>
      </c>
      <c r="O18" s="175">
        <f t="shared" si="18"/>
        <v>91.70581153196426</v>
      </c>
      <c r="P18" s="176">
        <f t="shared" si="3"/>
        <v>-972.615372897479</v>
      </c>
      <c r="Q18" s="176">
        <f t="shared" si="4"/>
        <v>-1365.7108792699091</v>
      </c>
      <c r="R18" s="177">
        <f t="shared" si="12"/>
        <v>2.344773062648124</v>
      </c>
      <c r="S18" s="178">
        <f t="shared" si="13"/>
        <v>0.18341162306392852</v>
      </c>
      <c r="T18" s="91">
        <f t="shared" si="14"/>
        <v>-2651.455116774338</v>
      </c>
      <c r="V18" s="179">
        <f t="shared" si="5"/>
        <v>4905</v>
      </c>
      <c r="W18" s="180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</row>
    <row r="19" spans="2:47" s="166" customFormat="1" ht="12.75" hidden="1">
      <c r="B19" s="167">
        <v>600</v>
      </c>
      <c r="C19" s="168">
        <f t="shared" si="15"/>
        <v>14.546875</v>
      </c>
      <c r="D19" s="169">
        <f t="shared" si="16"/>
        <v>8728.125</v>
      </c>
      <c r="E19" s="170">
        <f t="shared" si="6"/>
        <v>0.46511627906976744</v>
      </c>
      <c r="F19" s="168">
        <f t="shared" si="7"/>
        <v>279.06976744186045</v>
      </c>
      <c r="G19" s="171">
        <f t="shared" si="8"/>
        <v>0.005507901926202582</v>
      </c>
      <c r="H19" s="171">
        <f t="shared" si="9"/>
        <v>1.5370889096379297</v>
      </c>
      <c r="I19" s="172">
        <f t="shared" si="0"/>
        <v>2.9878618113912236</v>
      </c>
      <c r="J19" s="173">
        <f t="shared" si="17"/>
        <v>6.4</v>
      </c>
      <c r="K19" s="168">
        <f t="shared" si="10"/>
        <v>2.4609374999999996</v>
      </c>
      <c r="L19" s="174">
        <f t="shared" si="11"/>
        <v>-0.08397058823529409</v>
      </c>
      <c r="M19" s="168">
        <f t="shared" si="1"/>
        <v>3.2387543252595163</v>
      </c>
      <c r="N19" s="175">
        <f t="shared" si="2"/>
        <v>0.07750865051903233</v>
      </c>
      <c r="O19" s="175">
        <f t="shared" si="18"/>
        <v>91.70581153196426</v>
      </c>
      <c r="P19" s="176">
        <f t="shared" si="3"/>
        <v>-993.9626540151068</v>
      </c>
      <c r="Q19" s="176">
        <f t="shared" si="4"/>
        <v>-1656.0999901776968</v>
      </c>
      <c r="R19" s="177">
        <f t="shared" si="12"/>
        <v>1.9760683760683757</v>
      </c>
      <c r="S19" s="178">
        <f t="shared" si="13"/>
        <v>0.18341162306392852</v>
      </c>
      <c r="T19" s="91">
        <f t="shared" si="14"/>
        <v>-2709.650123069515</v>
      </c>
      <c r="V19" s="179">
        <f t="shared" si="5"/>
        <v>4905</v>
      </c>
      <c r="W19" s="180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</row>
    <row r="20" spans="2:47" s="166" customFormat="1" ht="12.75" hidden="1">
      <c r="B20" s="167">
        <v>700</v>
      </c>
      <c r="C20" s="168">
        <f t="shared" si="15"/>
        <v>14.546875</v>
      </c>
      <c r="D20" s="169">
        <f t="shared" si="16"/>
        <v>10182.8125</v>
      </c>
      <c r="E20" s="170">
        <f t="shared" si="6"/>
        <v>0.46511627906976744</v>
      </c>
      <c r="F20" s="168">
        <f t="shared" si="7"/>
        <v>325.5813953488372</v>
      </c>
      <c r="G20" s="171">
        <f t="shared" si="8"/>
        <v>0.005507901926202582</v>
      </c>
      <c r="H20" s="171">
        <f t="shared" si="9"/>
        <v>1.7932703945775845</v>
      </c>
      <c r="I20" s="172">
        <f t="shared" si="0"/>
        <v>3.4858387799564277</v>
      </c>
      <c r="J20" s="173">
        <f t="shared" si="17"/>
        <v>6.4</v>
      </c>
      <c r="K20" s="168">
        <f t="shared" si="10"/>
        <v>2.4609374999999996</v>
      </c>
      <c r="L20" s="174">
        <f t="shared" si="11"/>
        <v>-0.07171568627450978</v>
      </c>
      <c r="M20" s="168">
        <f aca="true" t="shared" si="19" ref="M20:M49">(1-L20)*H20*(3600/1852)</f>
        <v>3.735828100303303</v>
      </c>
      <c r="N20" s="175">
        <f>2*M20-J20</f>
        <v>1.071656200606606</v>
      </c>
      <c r="O20" s="175">
        <f t="shared" si="18"/>
        <v>91.70581153196426</v>
      </c>
      <c r="P20" s="176">
        <f>O20*((N20-J20)*(1852/3600))*((N20+J20)*(1852/3600))</f>
        <v>-966.2353909928231</v>
      </c>
      <c r="Q20" s="176">
        <f>(P20*((N20+J20)*(1852/3600))/2)</f>
        <v>-1856.9846195085145</v>
      </c>
      <c r="R20" s="177">
        <f t="shared" si="12"/>
        <v>1.713140923020628</v>
      </c>
      <c r="S20" s="178">
        <f t="shared" si="13"/>
        <v>0.18341162306392852</v>
      </c>
      <c r="T20" s="91">
        <f t="shared" si="14"/>
        <v>-2634.0625933396805</v>
      </c>
      <c r="V20" s="179">
        <f t="shared" si="5"/>
        <v>4905</v>
      </c>
      <c r="W20" s="180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</row>
    <row r="21" spans="2:47" s="181" customFormat="1" ht="12.75" hidden="1">
      <c r="B21" s="182">
        <v>800</v>
      </c>
      <c r="C21" s="168">
        <f t="shared" si="15"/>
        <v>14.546875</v>
      </c>
      <c r="D21" s="169">
        <f t="shared" si="16"/>
        <v>11637.5</v>
      </c>
      <c r="E21" s="170">
        <f t="shared" si="6"/>
        <v>0.46511627906976744</v>
      </c>
      <c r="F21" s="168">
        <f t="shared" si="7"/>
        <v>372.09302325581393</v>
      </c>
      <c r="G21" s="171">
        <f t="shared" si="8"/>
        <v>0.005507901926202582</v>
      </c>
      <c r="H21" s="171">
        <f t="shared" si="9"/>
        <v>2.0494518795172394</v>
      </c>
      <c r="I21" s="183">
        <f>H21*(3600/1852)</f>
        <v>3.9838157485216312</v>
      </c>
      <c r="J21" s="173">
        <f t="shared" si="17"/>
        <v>6.4</v>
      </c>
      <c r="K21" s="168">
        <f t="shared" si="10"/>
        <v>2.4609374999999996</v>
      </c>
      <c r="L21" s="174">
        <f t="shared" si="11"/>
        <v>-0.059460784313725486</v>
      </c>
      <c r="M21" s="184">
        <f t="shared" si="19"/>
        <v>4.2206965574901</v>
      </c>
      <c r="N21" s="175">
        <f aca="true" t="shared" si="20" ref="N21:N49">2*M21-J21</f>
        <v>2.041393114980199</v>
      </c>
      <c r="O21" s="175">
        <f t="shared" si="18"/>
        <v>91.70581153196426</v>
      </c>
      <c r="P21" s="185">
        <f aca="true" t="shared" si="21" ref="P21:P49">O21*((N21-J21)*(1852/3600))*((N21+J21)*(1852/3600))</f>
        <v>-892.9674899520335</v>
      </c>
      <c r="Q21" s="185">
        <f aca="true" t="shared" si="22" ref="Q21:Q49">(P21*((N21+J21)*(1852/3600))/2)</f>
        <v>-1938.9127193292113</v>
      </c>
      <c r="R21" s="180">
        <f aca="true" t="shared" si="23" ref="R21:R49">J21/M21</f>
        <v>1.5163373895340764</v>
      </c>
      <c r="S21" s="178">
        <f t="shared" si="13"/>
        <v>0.18341162306392852</v>
      </c>
      <c r="T21" s="91">
        <f t="shared" si="14"/>
        <v>-2434.3263393966795</v>
      </c>
      <c r="U21" s="91"/>
      <c r="V21" s="179">
        <f t="shared" si="5"/>
        <v>4905</v>
      </c>
      <c r="W21" s="180"/>
      <c r="X21" s="186">
        <f aca="true" t="shared" si="24" ref="X21:X49">IF(Q21&gt;D21,"Dépassement de la puisance disponible","")</f>
      </c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</row>
    <row r="22" spans="2:47" s="181" customFormat="1" ht="12.75" hidden="1">
      <c r="B22" s="182">
        <v>900</v>
      </c>
      <c r="C22" s="168">
        <f t="shared" si="15"/>
        <v>14.546875</v>
      </c>
      <c r="D22" s="169">
        <f t="shared" si="16"/>
        <v>13092.1875</v>
      </c>
      <c r="E22" s="170">
        <f t="shared" si="6"/>
        <v>0.46511627906976744</v>
      </c>
      <c r="F22" s="168">
        <f>E22*B22</f>
        <v>418.6046511627907</v>
      </c>
      <c r="G22" s="171">
        <f t="shared" si="8"/>
        <v>0.005507901926202582</v>
      </c>
      <c r="H22" s="171">
        <f t="shared" si="9"/>
        <v>2.3056333644568947</v>
      </c>
      <c r="I22" s="183">
        <f aca="true" t="shared" si="25" ref="I22:I49">H22*(3600/1852)</f>
        <v>4.481792717086836</v>
      </c>
      <c r="J22" s="173">
        <f t="shared" si="17"/>
        <v>6.4</v>
      </c>
      <c r="K22" s="168">
        <f t="shared" si="10"/>
        <v>2.4609374999999996</v>
      </c>
      <c r="L22" s="174">
        <f t="shared" si="11"/>
        <v>-0.04720588235294115</v>
      </c>
      <c r="M22" s="184">
        <f t="shared" si="19"/>
        <v>4.693359696819905</v>
      </c>
      <c r="N22" s="175">
        <f t="shared" si="20"/>
        <v>2.9867193936398095</v>
      </c>
      <c r="O22" s="175">
        <f t="shared" si="18"/>
        <v>91.70581153196426</v>
      </c>
      <c r="P22" s="185">
        <f t="shared" si="21"/>
        <v>-777.6060842861208</v>
      </c>
      <c r="Q22" s="185">
        <f t="shared" si="22"/>
        <v>-1877.5087565817391</v>
      </c>
      <c r="R22" s="180">
        <f t="shared" si="23"/>
        <v>1.3636287038337311</v>
      </c>
      <c r="S22" s="178">
        <f t="shared" si="13"/>
        <v>0.18341162306392852</v>
      </c>
      <c r="T22" s="91">
        <f t="shared" si="14"/>
        <v>-2119.838621173655</v>
      </c>
      <c r="U22" s="91"/>
      <c r="V22" s="179">
        <f t="shared" si="5"/>
        <v>4905</v>
      </c>
      <c r="W22" s="180"/>
      <c r="X22" s="186">
        <f t="shared" si="24"/>
      </c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</row>
    <row r="23" spans="2:47" s="181" customFormat="1" ht="12.75" hidden="1">
      <c r="B23" s="182">
        <v>1000</v>
      </c>
      <c r="C23" s="168">
        <f t="shared" si="15"/>
        <v>14.546875</v>
      </c>
      <c r="D23" s="169">
        <f t="shared" si="16"/>
        <v>14546.875</v>
      </c>
      <c r="E23" s="170">
        <f t="shared" si="6"/>
        <v>0.46511627906976744</v>
      </c>
      <c r="F23" s="168">
        <f t="shared" si="7"/>
        <v>465.1162790697674</v>
      </c>
      <c r="G23" s="171">
        <f t="shared" si="8"/>
        <v>0.005507901926202582</v>
      </c>
      <c r="H23" s="171">
        <f t="shared" si="9"/>
        <v>2.5618148493965496</v>
      </c>
      <c r="I23" s="183">
        <f t="shared" si="25"/>
        <v>4.97976968565204</v>
      </c>
      <c r="J23" s="173">
        <f t="shared" si="17"/>
        <v>6.4</v>
      </c>
      <c r="K23" s="168">
        <f t="shared" si="10"/>
        <v>2.4609374999999996</v>
      </c>
      <c r="L23" s="174">
        <f t="shared" si="11"/>
        <v>-0.03495098039215683</v>
      </c>
      <c r="M23" s="184">
        <f t="shared" si="19"/>
        <v>5.153817518292722</v>
      </c>
      <c r="N23" s="175">
        <f t="shared" si="20"/>
        <v>3.907635036585443</v>
      </c>
      <c r="O23" s="175">
        <f t="shared" si="18"/>
        <v>91.70581153196426</v>
      </c>
      <c r="P23" s="185">
        <f t="shared" si="21"/>
        <v>-623.5115346604463</v>
      </c>
      <c r="Q23" s="185">
        <f t="shared" si="22"/>
        <v>-1653.1490469980467</v>
      </c>
      <c r="R23" s="180">
        <f t="shared" si="23"/>
        <v>1.2417979443944487</v>
      </c>
      <c r="S23" s="178">
        <f t="shared" si="13"/>
        <v>0.18341162306392852</v>
      </c>
      <c r="T23" s="91">
        <f t="shared" si="14"/>
        <v>-1699.7601467250522</v>
      </c>
      <c r="U23" s="91"/>
      <c r="V23" s="179">
        <f t="shared" si="5"/>
        <v>4905</v>
      </c>
      <c r="W23" s="180"/>
      <c r="X23" s="186">
        <f t="shared" si="24"/>
      </c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</row>
    <row r="24" spans="2:47" s="181" customFormat="1" ht="12.75" hidden="1">
      <c r="B24" s="182">
        <v>1100</v>
      </c>
      <c r="C24" s="168">
        <f t="shared" si="15"/>
        <v>14.546875</v>
      </c>
      <c r="D24" s="169">
        <f t="shared" si="16"/>
        <v>16001.5625</v>
      </c>
      <c r="E24" s="170">
        <f t="shared" si="6"/>
        <v>0.46511627906976744</v>
      </c>
      <c r="F24" s="168">
        <f t="shared" si="7"/>
        <v>511.62790697674416</v>
      </c>
      <c r="G24" s="171">
        <f t="shared" si="8"/>
        <v>0.005507901926202582</v>
      </c>
      <c r="H24" s="171">
        <f t="shared" si="9"/>
        <v>2.8179963343362044</v>
      </c>
      <c r="I24" s="183">
        <f t="shared" si="25"/>
        <v>5.477746654217244</v>
      </c>
      <c r="J24" s="173">
        <f t="shared" si="17"/>
        <v>6.4</v>
      </c>
      <c r="K24" s="168">
        <f t="shared" si="10"/>
        <v>2.4609374999999996</v>
      </c>
      <c r="L24" s="174">
        <f t="shared" si="11"/>
        <v>-0.022696078431372523</v>
      </c>
      <c r="M24" s="184">
        <f t="shared" si="19"/>
        <v>5.602070021908546</v>
      </c>
      <c r="N24" s="175">
        <f t="shared" si="20"/>
        <v>4.8041400438170925</v>
      </c>
      <c r="O24" s="175">
        <f t="shared" si="18"/>
        <v>91.70581153196426</v>
      </c>
      <c r="P24" s="185">
        <f t="shared" si="21"/>
        <v>-433.9574290123515</v>
      </c>
      <c r="Q24" s="185">
        <f t="shared" si="22"/>
        <v>-1250.6452616496447</v>
      </c>
      <c r="R24" s="180">
        <f t="shared" si="23"/>
        <v>1.1424348455072704</v>
      </c>
      <c r="S24" s="178">
        <f t="shared" si="13"/>
        <v>0.18341162306392852</v>
      </c>
      <c r="T24" s="91">
        <f t="shared" si="14"/>
        <v>-1183.015072226624</v>
      </c>
      <c r="U24" s="91"/>
      <c r="V24" s="179">
        <f t="shared" si="5"/>
        <v>4905</v>
      </c>
      <c r="W24" s="180"/>
      <c r="X24" s="186">
        <f t="shared" si="24"/>
      </c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</row>
    <row r="25" spans="2:47" s="181" customFormat="1" ht="12.75" hidden="1">
      <c r="B25" s="182">
        <v>1200</v>
      </c>
      <c r="C25" s="168">
        <f t="shared" si="15"/>
        <v>14.546875</v>
      </c>
      <c r="D25" s="169">
        <f t="shared" si="16"/>
        <v>17456.25</v>
      </c>
      <c r="E25" s="170">
        <f t="shared" si="6"/>
        <v>0.46511627906976744</v>
      </c>
      <c r="F25" s="168">
        <f t="shared" si="7"/>
        <v>558.1395348837209</v>
      </c>
      <c r="G25" s="171">
        <f t="shared" si="8"/>
        <v>0.005507901926202582</v>
      </c>
      <c r="H25" s="171">
        <f t="shared" si="9"/>
        <v>3.0741778192758593</v>
      </c>
      <c r="I25" s="183">
        <f t="shared" si="25"/>
        <v>5.975723622782447</v>
      </c>
      <c r="J25" s="173">
        <f t="shared" si="17"/>
        <v>6.4</v>
      </c>
      <c r="K25" s="168">
        <f t="shared" si="10"/>
        <v>2.4609374999999996</v>
      </c>
      <c r="L25" s="174">
        <f t="shared" si="11"/>
        <v>-0.010441176470588218</v>
      </c>
      <c r="M25" s="184">
        <f t="shared" si="19"/>
        <v>6.038117207667382</v>
      </c>
      <c r="N25" s="175">
        <f t="shared" si="20"/>
        <v>5.676234415334763</v>
      </c>
      <c r="O25" s="175">
        <f t="shared" si="18"/>
        <v>91.70581153196426</v>
      </c>
      <c r="P25" s="185">
        <f t="shared" si="21"/>
        <v>-212.13058255115388</v>
      </c>
      <c r="Q25" s="185">
        <f t="shared" si="22"/>
        <v>-658.9361061318366</v>
      </c>
      <c r="R25" s="180">
        <f t="shared" si="23"/>
        <v>1.0599330519575025</v>
      </c>
      <c r="S25" s="178">
        <f t="shared" si="13"/>
        <v>0.18341162306392852</v>
      </c>
      <c r="T25" s="91">
        <f t="shared" si="14"/>
        <v>-578.2910019754181</v>
      </c>
      <c r="U25" s="91"/>
      <c r="V25" s="179">
        <f t="shared" si="5"/>
        <v>4905</v>
      </c>
      <c r="W25" s="180"/>
      <c r="X25" s="186">
        <f t="shared" si="24"/>
      </c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</row>
    <row r="26" spans="2:47" s="181" customFormat="1" ht="12.75">
      <c r="B26" s="182">
        <v>1300</v>
      </c>
      <c r="C26" s="168">
        <f t="shared" si="15"/>
        <v>14.546875</v>
      </c>
      <c r="D26" s="169">
        <f t="shared" si="16"/>
        <v>18910.9375</v>
      </c>
      <c r="E26" s="170">
        <f t="shared" si="6"/>
        <v>0.46511627906976744</v>
      </c>
      <c r="F26" s="168">
        <f t="shared" si="7"/>
        <v>604.6511627906976</v>
      </c>
      <c r="G26" s="171">
        <f t="shared" si="8"/>
        <v>0.005507901926202582</v>
      </c>
      <c r="H26" s="171">
        <f t="shared" si="9"/>
        <v>3.330359304215514</v>
      </c>
      <c r="I26" s="183">
        <f t="shared" si="25"/>
        <v>6.473700591347652</v>
      </c>
      <c r="J26" s="173">
        <f t="shared" si="17"/>
        <v>6.4</v>
      </c>
      <c r="K26" s="168">
        <f t="shared" si="10"/>
        <v>2.4609374999999996</v>
      </c>
      <c r="L26" s="174">
        <f t="shared" si="11"/>
        <v>0.001813725490196108</v>
      </c>
      <c r="M26" s="184">
        <f t="shared" si="19"/>
        <v>6.461959075569227</v>
      </c>
      <c r="N26" s="175">
        <f t="shared" si="20"/>
        <v>6.523918151138453</v>
      </c>
      <c r="O26" s="175">
        <f t="shared" si="18"/>
        <v>91.70581153196426</v>
      </c>
      <c r="P26" s="185">
        <f t="shared" si="21"/>
        <v>38.86896224184897</v>
      </c>
      <c r="Q26" s="185">
        <f t="shared" si="22"/>
        <v>129.2128276173554</v>
      </c>
      <c r="R26" s="180">
        <f t="shared" si="23"/>
        <v>0.9904117195970065</v>
      </c>
      <c r="S26" s="178">
        <f t="shared" si="13"/>
        <v>0.18341162306392852</v>
      </c>
      <c r="T26" s="91">
        <f>IF(P26/(2*S26)&lt;0.8*V26+101500,P26/(2*S26),"Cavitation ?")</f>
        <v>105.9610116102105</v>
      </c>
      <c r="U26" s="91"/>
      <c r="V26" s="179">
        <f t="shared" si="5"/>
        <v>4905</v>
      </c>
      <c r="W26" s="180"/>
      <c r="X26" s="186">
        <f t="shared" si="24"/>
      </c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</row>
    <row r="27" spans="1:47" s="181" customFormat="1" ht="12.75">
      <c r="A27" s="83"/>
      <c r="B27" s="182">
        <v>1400</v>
      </c>
      <c r="C27" s="168">
        <f t="shared" si="15"/>
        <v>14.546875</v>
      </c>
      <c r="D27" s="169">
        <f t="shared" si="16"/>
        <v>20365.625</v>
      </c>
      <c r="E27" s="170">
        <f t="shared" si="6"/>
        <v>0.46511627906976744</v>
      </c>
      <c r="F27" s="168">
        <f t="shared" si="7"/>
        <v>651.1627906976744</v>
      </c>
      <c r="G27" s="171">
        <f t="shared" si="8"/>
        <v>0.005507901926202582</v>
      </c>
      <c r="H27" s="171">
        <f t="shared" si="9"/>
        <v>3.586540789155169</v>
      </c>
      <c r="I27" s="183">
        <f t="shared" si="25"/>
        <v>6.971677559912855</v>
      </c>
      <c r="J27" s="173">
        <f t="shared" si="17"/>
        <v>6.4</v>
      </c>
      <c r="K27" s="168">
        <f t="shared" si="10"/>
        <v>2.4609374999999996</v>
      </c>
      <c r="L27" s="174">
        <f t="shared" si="11"/>
        <v>0.014068627450980413</v>
      </c>
      <c r="M27" s="187">
        <f t="shared" si="19"/>
        <v>6.873595625614081</v>
      </c>
      <c r="N27" s="175">
        <f t="shared" si="20"/>
        <v>7.347191251228162</v>
      </c>
      <c r="O27" s="175">
        <f t="shared" si="18"/>
        <v>91.70581153196426</v>
      </c>
      <c r="P27" s="185">
        <f t="shared" si="21"/>
        <v>316.02793561338143</v>
      </c>
      <c r="Q27" s="185">
        <f t="shared" si="22"/>
        <v>1117.501036863607</v>
      </c>
      <c r="R27" s="180">
        <f t="shared" si="23"/>
        <v>0.9310992890170535</v>
      </c>
      <c r="S27" s="178">
        <f t="shared" si="13"/>
        <v>0.18341162306392852</v>
      </c>
      <c r="T27" s="188">
        <f>IF(P27/(2*S27)&lt;0.8*V27+101500,P27/(2*S27),"Cavitation ?")</f>
        <v>861.526467990606</v>
      </c>
      <c r="U27" s="91"/>
      <c r="V27" s="179">
        <f t="shared" si="5"/>
        <v>4905</v>
      </c>
      <c r="W27" s="180"/>
      <c r="X27" s="186">
        <f t="shared" si="24"/>
      </c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</row>
    <row r="28" spans="1:47" s="181" customFormat="1" ht="12.75">
      <c r="A28" s="83"/>
      <c r="B28" s="182">
        <v>1500</v>
      </c>
      <c r="C28" s="168">
        <f t="shared" si="15"/>
        <v>14.546875</v>
      </c>
      <c r="D28" s="169">
        <f t="shared" si="16"/>
        <v>21820.3125</v>
      </c>
      <c r="E28" s="170">
        <f t="shared" si="6"/>
        <v>0.46511627906976744</v>
      </c>
      <c r="F28" s="168">
        <f t="shared" si="7"/>
        <v>697.6744186046511</v>
      </c>
      <c r="G28" s="171">
        <f t="shared" si="8"/>
        <v>0.005507901926202582</v>
      </c>
      <c r="H28" s="171">
        <f t="shared" si="9"/>
        <v>3.8427222740948244</v>
      </c>
      <c r="I28" s="183">
        <f t="shared" si="25"/>
        <v>7.46965452847806</v>
      </c>
      <c r="J28" s="173">
        <f t="shared" si="17"/>
        <v>6.4</v>
      </c>
      <c r="K28" s="168">
        <f t="shared" si="10"/>
        <v>2.4609374999999996</v>
      </c>
      <c r="L28" s="174">
        <f t="shared" si="11"/>
        <v>0.026323529411764735</v>
      </c>
      <c r="M28" s="187">
        <f t="shared" si="19"/>
        <v>7.273026857801946</v>
      </c>
      <c r="N28" s="175">
        <f t="shared" si="20"/>
        <v>8.146053715603891</v>
      </c>
      <c r="O28" s="175">
        <f t="shared" si="18"/>
        <v>91.70581153196426</v>
      </c>
      <c r="P28" s="185">
        <f t="shared" si="21"/>
        <v>616.4198405381895</v>
      </c>
      <c r="Q28" s="185">
        <f t="shared" si="22"/>
        <v>2306.376910988024</v>
      </c>
      <c r="R28" s="180">
        <f t="shared" si="23"/>
        <v>0.879963751699139</v>
      </c>
      <c r="S28" s="178">
        <f t="shared" si="13"/>
        <v>0.18341162306392852</v>
      </c>
      <c r="T28" s="188">
        <f>IF(P28/(2*S28)&lt;0.8*V28+101500,P28/(2*S28),"Cavitation ?")</f>
        <v>1680.4274185048105</v>
      </c>
      <c r="U28" s="91"/>
      <c r="V28" s="179">
        <f t="shared" si="5"/>
        <v>4905</v>
      </c>
      <c r="W28" s="180"/>
      <c r="X28" s="186">
        <f t="shared" si="24"/>
      </c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</row>
    <row r="29" spans="1:47" s="181" customFormat="1" ht="12.75">
      <c r="A29" s="189" t="s">
        <v>24</v>
      </c>
      <c r="B29" s="182">
        <v>1600</v>
      </c>
      <c r="C29" s="168">
        <f t="shared" si="15"/>
        <v>14.546875</v>
      </c>
      <c r="D29" s="169">
        <f t="shared" si="16"/>
        <v>23275</v>
      </c>
      <c r="E29" s="170">
        <f t="shared" si="6"/>
        <v>0.46511627906976744</v>
      </c>
      <c r="F29" s="168">
        <f t="shared" si="7"/>
        <v>744.1860465116279</v>
      </c>
      <c r="G29" s="171">
        <f t="shared" si="8"/>
        <v>0.005507901926202582</v>
      </c>
      <c r="H29" s="171">
        <f t="shared" si="9"/>
        <v>4.098903759034479</v>
      </c>
      <c r="I29" s="183">
        <f t="shared" si="25"/>
        <v>7.9676314970432625</v>
      </c>
      <c r="J29" s="173">
        <f t="shared" si="17"/>
        <v>6.4</v>
      </c>
      <c r="K29" s="168">
        <f t="shared" si="10"/>
        <v>2.4609374999999996</v>
      </c>
      <c r="L29" s="174">
        <f t="shared" si="11"/>
        <v>0.03857843137254902</v>
      </c>
      <c r="M29" s="184">
        <f t="shared" si="19"/>
        <v>7.66025277213282</v>
      </c>
      <c r="N29" s="175">
        <f t="shared" si="20"/>
        <v>8.92050554426564</v>
      </c>
      <c r="O29" s="175">
        <f t="shared" si="18"/>
        <v>91.70581153196426</v>
      </c>
      <c r="P29" s="185">
        <f t="shared" si="21"/>
        <v>937.2049527190405</v>
      </c>
      <c r="Q29" s="185">
        <f t="shared" si="22"/>
        <v>3693.313361764202</v>
      </c>
      <c r="R29" s="180">
        <f t="shared" si="23"/>
        <v>0.8354815683475245</v>
      </c>
      <c r="S29" s="178">
        <f t="shared" si="13"/>
        <v>0.18341162306392852</v>
      </c>
      <c r="T29" s="188">
        <f aca="true" t="shared" si="26" ref="T29:T48">IF(P29/(2*S29)&lt;0.8*V29+101500,P29/(2*S29),"Cavitation ?")</f>
        <v>2554.9224663705627</v>
      </c>
      <c r="U29" s="91"/>
      <c r="V29" s="179">
        <f t="shared" si="5"/>
        <v>4905</v>
      </c>
      <c r="W29" s="180"/>
      <c r="X29" s="186">
        <f t="shared" si="24"/>
      </c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</row>
    <row r="30" spans="1:47" s="181" customFormat="1" ht="12.75">
      <c r="A30" s="189" t="s">
        <v>26</v>
      </c>
      <c r="B30" s="182">
        <v>1700</v>
      </c>
      <c r="C30" s="168">
        <f t="shared" si="15"/>
        <v>14.546875</v>
      </c>
      <c r="D30" s="169">
        <f t="shared" si="16"/>
        <v>24729.6875</v>
      </c>
      <c r="E30" s="170">
        <f t="shared" si="6"/>
        <v>0.46511627906976744</v>
      </c>
      <c r="F30" s="168">
        <f t="shared" si="7"/>
        <v>790.6976744186046</v>
      </c>
      <c r="G30" s="171">
        <f t="shared" si="8"/>
        <v>0.005507901926202582</v>
      </c>
      <c r="H30" s="171">
        <f t="shared" si="9"/>
        <v>4.355085243974134</v>
      </c>
      <c r="I30" s="183">
        <f t="shared" si="25"/>
        <v>8.465608465608467</v>
      </c>
      <c r="J30" s="173">
        <f t="shared" si="17"/>
        <v>6.4</v>
      </c>
      <c r="K30" s="168">
        <f t="shared" si="10"/>
        <v>2.4609374999999996</v>
      </c>
      <c r="L30" s="174">
        <f t="shared" si="11"/>
        <v>0.05083333333333335</v>
      </c>
      <c r="M30" s="184">
        <f t="shared" si="19"/>
        <v>8.035273368606703</v>
      </c>
      <c r="N30" s="175">
        <f t="shared" si="20"/>
        <v>9.670546737213405</v>
      </c>
      <c r="O30" s="175">
        <f t="shared" si="18"/>
        <v>91.70581153196426</v>
      </c>
      <c r="P30" s="185">
        <f t="shared" si="21"/>
        <v>1275.6303205867227</v>
      </c>
      <c r="Q30" s="185">
        <f t="shared" si="22"/>
        <v>5273.075281000607</v>
      </c>
      <c r="R30" s="180">
        <f t="shared" si="23"/>
        <v>0.796488147497805</v>
      </c>
      <c r="S30" s="178">
        <f t="shared" si="13"/>
        <v>0.18341162306392852</v>
      </c>
      <c r="T30" s="188">
        <f t="shared" si="26"/>
        <v>3477.5067666842983</v>
      </c>
      <c r="U30" s="91"/>
      <c r="V30" s="179">
        <f t="shared" si="5"/>
        <v>4905</v>
      </c>
      <c r="W30" s="180"/>
      <c r="X30" s="186">
        <f t="shared" si="24"/>
      </c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</row>
    <row r="31" spans="1:47" s="181" customFormat="1" ht="12.75">
      <c r="A31" s="189" t="s">
        <v>25</v>
      </c>
      <c r="B31" s="182">
        <v>1800</v>
      </c>
      <c r="C31" s="168">
        <f t="shared" si="15"/>
        <v>14.546875</v>
      </c>
      <c r="D31" s="169">
        <f t="shared" si="16"/>
        <v>26184.375</v>
      </c>
      <c r="E31" s="170">
        <f t="shared" si="6"/>
        <v>0.46511627906976744</v>
      </c>
      <c r="F31" s="168">
        <f t="shared" si="7"/>
        <v>837.2093023255813</v>
      </c>
      <c r="G31" s="171">
        <f t="shared" si="8"/>
        <v>0.005507901926202582</v>
      </c>
      <c r="H31" s="171">
        <f t="shared" si="9"/>
        <v>4.611266728913789</v>
      </c>
      <c r="I31" s="190">
        <f t="shared" si="25"/>
        <v>8.963585434173671</v>
      </c>
      <c r="J31" s="173">
        <f t="shared" si="17"/>
        <v>6.4</v>
      </c>
      <c r="K31" s="168">
        <f t="shared" si="10"/>
        <v>2.4609374999999996</v>
      </c>
      <c r="L31" s="174">
        <f t="shared" si="11"/>
        <v>0.06308823529411767</v>
      </c>
      <c r="M31" s="184">
        <f t="shared" si="19"/>
        <v>8.398088647223597</v>
      </c>
      <c r="N31" s="175">
        <f t="shared" si="20"/>
        <v>10.396177294447194</v>
      </c>
      <c r="O31" s="175">
        <f t="shared" si="18"/>
        <v>91.70581153196426</v>
      </c>
      <c r="P31" s="185">
        <f t="shared" si="21"/>
        <v>1629.029765300049</v>
      </c>
      <c r="Q31" s="185">
        <f t="shared" si="22"/>
        <v>7037.978825548303</v>
      </c>
      <c r="R31" s="180">
        <f t="shared" si="23"/>
        <v>0.7620781666928268</v>
      </c>
      <c r="S31" s="178">
        <f t="shared" si="13"/>
        <v>0.18341162306392852</v>
      </c>
      <c r="T31" s="188">
        <f t="shared" si="26"/>
        <v>4440.912026421158</v>
      </c>
      <c r="U31" s="91"/>
      <c r="V31" s="179">
        <f t="shared" si="5"/>
        <v>4905</v>
      </c>
      <c r="W31" s="180"/>
      <c r="X31" s="186">
        <f t="shared" si="24"/>
      </c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</row>
    <row r="32" spans="1:47" s="181" customFormat="1" ht="12.75">
      <c r="A32" s="83"/>
      <c r="B32" s="182">
        <v>1900</v>
      </c>
      <c r="C32" s="168">
        <f t="shared" si="15"/>
        <v>14.546875</v>
      </c>
      <c r="D32" s="169">
        <f t="shared" si="16"/>
        <v>27639.0625</v>
      </c>
      <c r="E32" s="170">
        <f t="shared" si="6"/>
        <v>0.46511627906976744</v>
      </c>
      <c r="F32" s="168">
        <f t="shared" si="7"/>
        <v>883.7209302325581</v>
      </c>
      <c r="G32" s="171">
        <f t="shared" si="8"/>
        <v>0.005507901926202582</v>
      </c>
      <c r="H32" s="171">
        <f t="shared" si="9"/>
        <v>4.867448213853444</v>
      </c>
      <c r="I32" s="190">
        <f t="shared" si="25"/>
        <v>9.461562402738876</v>
      </c>
      <c r="J32" s="173">
        <f t="shared" si="17"/>
        <v>6.4</v>
      </c>
      <c r="K32" s="168">
        <f t="shared" si="10"/>
        <v>2.4609374999999996</v>
      </c>
      <c r="L32" s="174">
        <f t="shared" si="11"/>
        <v>0.075343137254902</v>
      </c>
      <c r="M32" s="184">
        <f t="shared" si="19"/>
        <v>8.7486986079835</v>
      </c>
      <c r="N32" s="175">
        <f t="shared" si="20"/>
        <v>11.097397215966998</v>
      </c>
      <c r="O32" s="175">
        <f t="shared" si="18"/>
        <v>91.70581153196426</v>
      </c>
      <c r="P32" s="185">
        <f t="shared" si="21"/>
        <v>1994.8238807458479</v>
      </c>
      <c r="Q32" s="185">
        <f t="shared" si="22"/>
        <v>8978.142529673938</v>
      </c>
      <c r="R32" s="180">
        <f t="shared" si="23"/>
        <v>0.73153737335971</v>
      </c>
      <c r="S32" s="178">
        <f t="shared" si="13"/>
        <v>0.18341162306392852</v>
      </c>
      <c r="T32" s="188">
        <f t="shared" si="26"/>
        <v>5438.106504434966</v>
      </c>
      <c r="U32" s="91"/>
      <c r="V32" s="179">
        <f t="shared" si="5"/>
        <v>4905</v>
      </c>
      <c r="W32" s="180"/>
      <c r="X32" s="186">
        <f t="shared" si="24"/>
      </c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</row>
    <row r="33" spans="1:47" s="181" customFormat="1" ht="12.75">
      <c r="A33" s="83"/>
      <c r="B33" s="191">
        <v>2000</v>
      </c>
      <c r="C33" s="168">
        <f t="shared" si="15"/>
        <v>14.546875</v>
      </c>
      <c r="D33" s="169">
        <f t="shared" si="16"/>
        <v>29093.75</v>
      </c>
      <c r="E33" s="170">
        <f t="shared" si="6"/>
        <v>0.46511627906976744</v>
      </c>
      <c r="F33" s="168">
        <f t="shared" si="7"/>
        <v>930.2325581395348</v>
      </c>
      <c r="G33" s="171">
        <f t="shared" si="8"/>
        <v>0.005507901926202582</v>
      </c>
      <c r="H33" s="171">
        <f t="shared" si="9"/>
        <v>5.123629698793099</v>
      </c>
      <c r="I33" s="190">
        <f t="shared" si="25"/>
        <v>9.95953937130408</v>
      </c>
      <c r="J33" s="173">
        <f t="shared" si="17"/>
        <v>6.4</v>
      </c>
      <c r="K33" s="168">
        <f t="shared" si="10"/>
        <v>2.4609374999999996</v>
      </c>
      <c r="L33" s="174">
        <f t="shared" si="11"/>
        <v>0.08759803921568633</v>
      </c>
      <c r="M33" s="192">
        <f t="shared" si="19"/>
        <v>9.087103250886415</v>
      </c>
      <c r="N33" s="175">
        <f t="shared" si="20"/>
        <v>11.774206501772829</v>
      </c>
      <c r="O33" s="175">
        <f t="shared" si="18"/>
        <v>91.70581153196426</v>
      </c>
      <c r="P33" s="185">
        <f t="shared" si="21"/>
        <v>2370.520033538979</v>
      </c>
      <c r="Q33" s="185">
        <f t="shared" si="22"/>
        <v>11081.730244798187</v>
      </c>
      <c r="R33" s="180">
        <f t="shared" si="23"/>
        <v>0.7042948476871002</v>
      </c>
      <c r="S33" s="178">
        <f t="shared" si="13"/>
        <v>0.18341162306392852</v>
      </c>
      <c r="T33" s="188">
        <f t="shared" si="26"/>
        <v>6462.295011458268</v>
      </c>
      <c r="U33" s="91"/>
      <c r="V33" s="179">
        <f t="shared" si="5"/>
        <v>4905</v>
      </c>
      <c r="W33" s="180"/>
      <c r="X33" s="186">
        <f t="shared" si="24"/>
      </c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</row>
    <row r="34" spans="2:47" s="181" customFormat="1" ht="12.75">
      <c r="B34" s="191">
        <v>2100</v>
      </c>
      <c r="C34" s="168">
        <f t="shared" si="15"/>
        <v>14.546875</v>
      </c>
      <c r="D34" s="169">
        <f t="shared" si="16"/>
        <v>30548.4375</v>
      </c>
      <c r="E34" s="170">
        <f t="shared" si="6"/>
        <v>0.46511627906976744</v>
      </c>
      <c r="F34" s="168">
        <f t="shared" si="7"/>
        <v>976.7441860465116</v>
      </c>
      <c r="G34" s="171">
        <f t="shared" si="8"/>
        <v>0.005507901926202582</v>
      </c>
      <c r="H34" s="171">
        <f t="shared" si="9"/>
        <v>5.379811183732754</v>
      </c>
      <c r="I34" s="190">
        <f t="shared" si="25"/>
        <v>10.457516339869283</v>
      </c>
      <c r="J34" s="173">
        <f t="shared" si="17"/>
        <v>6.4</v>
      </c>
      <c r="K34" s="168">
        <f t="shared" si="10"/>
        <v>2.4609374999999996</v>
      </c>
      <c r="L34" s="174">
        <f t="shared" si="11"/>
        <v>0.09985294117647062</v>
      </c>
      <c r="M34" s="192">
        <f t="shared" si="19"/>
        <v>9.413302575932336</v>
      </c>
      <c r="N34" s="175">
        <f t="shared" si="20"/>
        <v>12.426605151864672</v>
      </c>
      <c r="O34" s="175">
        <f t="shared" si="18"/>
        <v>91.70581153196426</v>
      </c>
      <c r="P34" s="185">
        <f t="shared" si="21"/>
        <v>2753.712363022308</v>
      </c>
      <c r="Q34" s="185">
        <f t="shared" si="22"/>
        <v>13335.185906599296</v>
      </c>
      <c r="R34" s="180">
        <f t="shared" si="23"/>
        <v>0.679888907041333</v>
      </c>
      <c r="S34" s="178">
        <f t="shared" si="13"/>
        <v>0.18341162306392852</v>
      </c>
      <c r="T34" s="188">
        <f t="shared" si="26"/>
        <v>7506.918910102267</v>
      </c>
      <c r="U34" s="91"/>
      <c r="V34" s="179">
        <f t="shared" si="5"/>
        <v>4905</v>
      </c>
      <c r="W34" s="180"/>
      <c r="X34" s="186">
        <f t="shared" si="24"/>
      </c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</row>
    <row r="35" spans="2:47" s="181" customFormat="1" ht="12.75">
      <c r="B35" s="191">
        <v>2200</v>
      </c>
      <c r="C35" s="168">
        <f t="shared" si="15"/>
        <v>14.546875</v>
      </c>
      <c r="D35" s="169">
        <f t="shared" si="16"/>
        <v>32003.125</v>
      </c>
      <c r="E35" s="170">
        <f t="shared" si="6"/>
        <v>0.46511627906976744</v>
      </c>
      <c r="F35" s="168">
        <f t="shared" si="7"/>
        <v>1023.2558139534883</v>
      </c>
      <c r="G35" s="171">
        <f t="shared" si="8"/>
        <v>0.005507901926202582</v>
      </c>
      <c r="H35" s="171">
        <f t="shared" si="9"/>
        <v>5.635992668672409</v>
      </c>
      <c r="I35" s="190">
        <f t="shared" si="25"/>
        <v>10.955493308434487</v>
      </c>
      <c r="J35" s="173">
        <f t="shared" si="17"/>
        <v>6.4</v>
      </c>
      <c r="K35" s="168">
        <f t="shared" si="10"/>
        <v>2.4609374999999996</v>
      </c>
      <c r="L35" s="174">
        <f t="shared" si="11"/>
        <v>0.11210784313725494</v>
      </c>
      <c r="M35" s="192">
        <f t="shared" si="19"/>
        <v>9.727296583121266</v>
      </c>
      <c r="N35" s="175">
        <f t="shared" si="20"/>
        <v>13.054593166242531</v>
      </c>
      <c r="O35" s="175">
        <f t="shared" si="18"/>
        <v>91.70581153196426</v>
      </c>
      <c r="P35" s="185">
        <f t="shared" si="21"/>
        <v>3142.081781266736</v>
      </c>
      <c r="Q35" s="185">
        <f t="shared" si="22"/>
        <v>15723.460129482248</v>
      </c>
      <c r="R35" s="180">
        <f t="shared" si="23"/>
        <v>0.6579423116495937</v>
      </c>
      <c r="S35" s="178">
        <f t="shared" si="13"/>
        <v>0.18341162306392852</v>
      </c>
      <c r="T35" s="188">
        <f t="shared" si="26"/>
        <v>8565.656114856898</v>
      </c>
      <c r="U35" s="91"/>
      <c r="V35" s="179">
        <f t="shared" si="5"/>
        <v>4905</v>
      </c>
      <c r="W35" s="180"/>
      <c r="X35" s="186">
        <f>IF(Q35&gt;D35,"Dépassement de la puisance disponible","")</f>
      </c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</row>
    <row r="36" spans="2:47" s="181" customFormat="1" ht="12.75">
      <c r="B36" s="191">
        <v>2300</v>
      </c>
      <c r="C36" s="168">
        <f t="shared" si="15"/>
        <v>14.546875</v>
      </c>
      <c r="D36" s="169">
        <f t="shared" si="16"/>
        <v>33457.8125</v>
      </c>
      <c r="E36" s="170">
        <f t="shared" si="6"/>
        <v>0.46511627906976744</v>
      </c>
      <c r="F36" s="168">
        <f t="shared" si="7"/>
        <v>1069.7674418604652</v>
      </c>
      <c r="G36" s="171">
        <f t="shared" si="8"/>
        <v>0.005507901926202582</v>
      </c>
      <c r="H36" s="171">
        <f t="shared" si="9"/>
        <v>5.892174153612064</v>
      </c>
      <c r="I36" s="190">
        <f t="shared" si="25"/>
        <v>11.453470276999692</v>
      </c>
      <c r="J36" s="173">
        <f t="shared" si="17"/>
        <v>6.4</v>
      </c>
      <c r="K36" s="168">
        <f t="shared" si="10"/>
        <v>2.4609374999999996</v>
      </c>
      <c r="L36" s="174">
        <f t="shared" si="11"/>
        <v>0.12436274509803927</v>
      </c>
      <c r="M36" s="192">
        <f t="shared" si="19"/>
        <v>10.02908527245321</v>
      </c>
      <c r="N36" s="175">
        <f t="shared" si="20"/>
        <v>13.65817054490642</v>
      </c>
      <c r="O36" s="175">
        <f t="shared" si="18"/>
        <v>91.70581153196426</v>
      </c>
      <c r="P36" s="185">
        <f t="shared" si="21"/>
        <v>3533.3959730711877</v>
      </c>
      <c r="Q36" s="185">
        <f t="shared" si="22"/>
        <v>18230.228628413042</v>
      </c>
      <c r="R36" s="180">
        <f t="shared" si="23"/>
        <v>0.6381439409612776</v>
      </c>
      <c r="S36" s="178">
        <f t="shared" si="13"/>
        <v>0.18341162306392852</v>
      </c>
      <c r="T36" s="188">
        <f t="shared" si="26"/>
        <v>9632.421092090806</v>
      </c>
      <c r="U36" s="91"/>
      <c r="V36" s="179">
        <f t="shared" si="5"/>
        <v>4905</v>
      </c>
      <c r="W36" s="180"/>
      <c r="X36" s="186">
        <f t="shared" si="24"/>
      </c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</row>
    <row r="37" spans="1:47" s="181" customFormat="1" ht="12.75">
      <c r="A37" s="189"/>
      <c r="B37" s="191">
        <v>2400</v>
      </c>
      <c r="C37" s="168">
        <f t="shared" si="15"/>
        <v>14.546875</v>
      </c>
      <c r="D37" s="169">
        <f t="shared" si="16"/>
        <v>34912.5</v>
      </c>
      <c r="E37" s="170">
        <f t="shared" si="6"/>
        <v>0.46511627906976744</v>
      </c>
      <c r="F37" s="168">
        <f t="shared" si="7"/>
        <v>1116.2790697674418</v>
      </c>
      <c r="G37" s="171">
        <f t="shared" si="8"/>
        <v>0.005507901926202582</v>
      </c>
      <c r="H37" s="171">
        <f t="shared" si="9"/>
        <v>6.148355638551719</v>
      </c>
      <c r="I37" s="190">
        <f t="shared" si="25"/>
        <v>11.951447245564895</v>
      </c>
      <c r="J37" s="173">
        <f t="shared" si="17"/>
        <v>6.4</v>
      </c>
      <c r="K37" s="168">
        <f t="shared" si="10"/>
        <v>2.4609374999999996</v>
      </c>
      <c r="L37" s="174">
        <f t="shared" si="11"/>
        <v>0.13661764705882354</v>
      </c>
      <c r="M37" s="192">
        <f t="shared" si="19"/>
        <v>10.318668643928161</v>
      </c>
      <c r="N37" s="175">
        <f t="shared" si="20"/>
        <v>14.237337287856322</v>
      </c>
      <c r="O37" s="175">
        <f t="shared" si="18"/>
        <v>91.70581153196426</v>
      </c>
      <c r="P37" s="185">
        <f t="shared" si="21"/>
        <v>3925.509395962593</v>
      </c>
      <c r="Q37" s="185">
        <f t="shared" si="22"/>
        <v>20838.102468118224</v>
      </c>
      <c r="R37" s="180">
        <f t="shared" si="23"/>
        <v>0.6202350536535512</v>
      </c>
      <c r="S37" s="178">
        <f t="shared" si="13"/>
        <v>0.18341162306392852</v>
      </c>
      <c r="T37" s="188">
        <f t="shared" si="26"/>
        <v>10701.364860051284</v>
      </c>
      <c r="U37" s="91"/>
      <c r="V37" s="179">
        <f t="shared" si="5"/>
        <v>4905</v>
      </c>
      <c r="W37" s="180"/>
      <c r="X37" s="186">
        <f t="shared" si="24"/>
      </c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</row>
    <row r="38" spans="1:47" s="181" customFormat="1" ht="12.75">
      <c r="A38" s="83"/>
      <c r="B38" s="191">
        <v>2500</v>
      </c>
      <c r="C38" s="168">
        <f t="shared" si="15"/>
        <v>14.546875</v>
      </c>
      <c r="D38" s="169">
        <f t="shared" si="16"/>
        <v>36367.1875</v>
      </c>
      <c r="E38" s="170">
        <f t="shared" si="6"/>
        <v>0.46511627906976744</v>
      </c>
      <c r="F38" s="168">
        <f t="shared" si="7"/>
        <v>1162.7906976744187</v>
      </c>
      <c r="G38" s="171">
        <f t="shared" si="8"/>
        <v>0.005507901926202582</v>
      </c>
      <c r="H38" s="171">
        <f t="shared" si="9"/>
        <v>6.404537123491374</v>
      </c>
      <c r="I38" s="190">
        <f t="shared" si="25"/>
        <v>12.449424214130099</v>
      </c>
      <c r="J38" s="173">
        <f t="shared" si="17"/>
        <v>6.4</v>
      </c>
      <c r="K38" s="168">
        <f t="shared" si="10"/>
        <v>2.4609374999999996</v>
      </c>
      <c r="L38" s="174">
        <f t="shared" si="11"/>
        <v>0.14887254901960786</v>
      </c>
      <c r="M38" s="192">
        <f t="shared" si="19"/>
        <v>10.596046697546123</v>
      </c>
      <c r="N38" s="175">
        <f t="shared" si="20"/>
        <v>14.792093395092246</v>
      </c>
      <c r="O38" s="175">
        <f t="shared" si="18"/>
        <v>91.70581153196426</v>
      </c>
      <c r="P38" s="185">
        <f t="shared" si="21"/>
        <v>4316.363280195918</v>
      </c>
      <c r="Q38" s="185">
        <f t="shared" si="22"/>
        <v>23528.83013965008</v>
      </c>
      <c r="R38" s="180">
        <f t="shared" si="23"/>
        <v>0.6039988481253239</v>
      </c>
      <c r="S38" s="178">
        <f t="shared" si="13"/>
        <v>0.18341162306392852</v>
      </c>
      <c r="T38" s="188">
        <f t="shared" si="26"/>
        <v>11766.874988864365</v>
      </c>
      <c r="U38" s="91"/>
      <c r="V38" s="179">
        <f t="shared" si="5"/>
        <v>4905</v>
      </c>
      <c r="W38" s="180"/>
      <c r="X38" s="186">
        <f t="shared" si="24"/>
      </c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</row>
    <row r="39" spans="1:47" s="181" customFormat="1" ht="12.75">
      <c r="A39" s="189" t="s">
        <v>24</v>
      </c>
      <c r="B39" s="191">
        <v>2600</v>
      </c>
      <c r="C39" s="168">
        <f t="shared" si="15"/>
        <v>14.546875</v>
      </c>
      <c r="D39" s="169">
        <f t="shared" si="16"/>
        <v>37821.875</v>
      </c>
      <c r="E39" s="170">
        <f t="shared" si="6"/>
        <v>0.46511627906976744</v>
      </c>
      <c r="F39" s="168">
        <f t="shared" si="7"/>
        <v>1209.3023255813953</v>
      </c>
      <c r="G39" s="171">
        <f t="shared" si="8"/>
        <v>0.005507901926202582</v>
      </c>
      <c r="H39" s="171">
        <f t="shared" si="9"/>
        <v>6.660718608431028</v>
      </c>
      <c r="I39" s="190">
        <f t="shared" si="25"/>
        <v>12.947401182695303</v>
      </c>
      <c r="J39" s="173">
        <f t="shared" si="17"/>
        <v>6.4</v>
      </c>
      <c r="K39" s="168">
        <f t="shared" si="10"/>
        <v>2.4609374999999996</v>
      </c>
      <c r="L39" s="174">
        <f t="shared" si="11"/>
        <v>0.1611274509803922</v>
      </c>
      <c r="M39" s="192">
        <f t="shared" si="19"/>
        <v>10.861219433307093</v>
      </c>
      <c r="N39" s="175">
        <f t="shared" si="20"/>
        <v>15.322438866614187</v>
      </c>
      <c r="O39" s="175">
        <f t="shared" si="18"/>
        <v>91.70581153196426</v>
      </c>
      <c r="P39" s="185">
        <f t="shared" si="21"/>
        <v>4703.985628754143</v>
      </c>
      <c r="Q39" s="185">
        <f t="shared" si="22"/>
        <v>26283.49146431677</v>
      </c>
      <c r="R39" s="180">
        <f t="shared" si="23"/>
        <v>0.5892524351707429</v>
      </c>
      <c r="S39" s="178">
        <f t="shared" si="13"/>
        <v>0.18341162306392852</v>
      </c>
      <c r="T39" s="188">
        <f t="shared" si="26"/>
        <v>12823.575600534758</v>
      </c>
      <c r="U39" s="91"/>
      <c r="V39" s="179">
        <f t="shared" si="5"/>
        <v>4905</v>
      </c>
      <c r="W39" s="180"/>
      <c r="X39" s="186">
        <f t="shared" si="24"/>
      </c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</row>
    <row r="40" spans="1:47" s="181" customFormat="1" ht="12.75">
      <c r="A40" s="189" t="s">
        <v>26</v>
      </c>
      <c r="B40" s="191">
        <v>2700</v>
      </c>
      <c r="C40" s="168">
        <f t="shared" si="15"/>
        <v>14.546875</v>
      </c>
      <c r="D40" s="169">
        <f t="shared" si="16"/>
        <v>39276.5625</v>
      </c>
      <c r="E40" s="170">
        <f t="shared" si="6"/>
        <v>0.46511627906976744</v>
      </c>
      <c r="F40" s="168">
        <f t="shared" si="7"/>
        <v>1255.8139534883721</v>
      </c>
      <c r="G40" s="171">
        <f t="shared" si="8"/>
        <v>0.005507901926202582</v>
      </c>
      <c r="H40" s="171">
        <f t="shared" si="9"/>
        <v>6.916900093370684</v>
      </c>
      <c r="I40" s="190">
        <f t="shared" si="25"/>
        <v>13.445378151260508</v>
      </c>
      <c r="J40" s="173">
        <f t="shared" si="17"/>
        <v>6.4</v>
      </c>
      <c r="K40" s="168">
        <f t="shared" si="10"/>
        <v>2.4609374999999996</v>
      </c>
      <c r="L40" s="174">
        <f t="shared" si="11"/>
        <v>0.17338235294117652</v>
      </c>
      <c r="M40" s="192">
        <f t="shared" si="19"/>
        <v>11.114186851211073</v>
      </c>
      <c r="N40" s="175">
        <f t="shared" si="20"/>
        <v>15.828373702422146</v>
      </c>
      <c r="O40" s="175">
        <f t="shared" si="18"/>
        <v>91.70581153196426</v>
      </c>
      <c r="P40" s="185">
        <f t="shared" si="21"/>
        <v>5086.491217348274</v>
      </c>
      <c r="Q40" s="185">
        <f t="shared" si="22"/>
        <v>29082.683324978054</v>
      </c>
      <c r="R40" s="180">
        <f t="shared" si="23"/>
        <v>0.575840597758406</v>
      </c>
      <c r="S40" s="178">
        <f t="shared" si="13"/>
        <v>0.18341162306392852</v>
      </c>
      <c r="T40" s="188">
        <f t="shared" si="26"/>
        <v>13866.327368945878</v>
      </c>
      <c r="U40" s="91"/>
      <c r="V40" s="179">
        <f t="shared" si="5"/>
        <v>4905</v>
      </c>
      <c r="W40" s="180"/>
      <c r="X40" s="186">
        <f t="shared" si="24"/>
      </c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</row>
    <row r="41" spans="1:47" s="181" customFormat="1" ht="12.75">
      <c r="A41" s="189" t="s">
        <v>27</v>
      </c>
      <c r="B41" s="191">
        <v>2800</v>
      </c>
      <c r="C41" s="168">
        <f t="shared" si="15"/>
        <v>14.546875</v>
      </c>
      <c r="D41" s="169">
        <f t="shared" si="16"/>
        <v>40731.25</v>
      </c>
      <c r="E41" s="170">
        <f t="shared" si="6"/>
        <v>0.46511627906976744</v>
      </c>
      <c r="F41" s="168">
        <f t="shared" si="7"/>
        <v>1302.3255813953488</v>
      </c>
      <c r="G41" s="171">
        <f t="shared" si="8"/>
        <v>0.005507901926202582</v>
      </c>
      <c r="H41" s="171">
        <f t="shared" si="9"/>
        <v>7.173081578310338</v>
      </c>
      <c r="I41" s="190">
        <f t="shared" si="25"/>
        <v>13.94335511982571</v>
      </c>
      <c r="J41" s="173">
        <f t="shared" si="17"/>
        <v>6.4</v>
      </c>
      <c r="K41" s="168">
        <f t="shared" si="10"/>
        <v>2.4609374999999996</v>
      </c>
      <c r="L41" s="174">
        <f t="shared" si="11"/>
        <v>0.1856372549019608</v>
      </c>
      <c r="M41" s="192">
        <f t="shared" si="19"/>
        <v>11.354948951258065</v>
      </c>
      <c r="N41" s="175">
        <f t="shared" si="20"/>
        <v>16.309897902516127</v>
      </c>
      <c r="O41" s="175">
        <f t="shared" si="18"/>
        <v>91.70581153196426</v>
      </c>
      <c r="P41" s="185">
        <f t="shared" si="21"/>
        <v>5462.081594417337</v>
      </c>
      <c r="Q41" s="185">
        <f t="shared" si="22"/>
        <v>31906.697224706222</v>
      </c>
      <c r="R41" s="180">
        <f t="shared" si="23"/>
        <v>0.5636308914705351</v>
      </c>
      <c r="S41" s="178">
        <f t="shared" si="13"/>
        <v>0.18341162306392852</v>
      </c>
      <c r="T41" s="188">
        <f t="shared" si="26"/>
        <v>14890.227519859842</v>
      </c>
      <c r="U41" s="91"/>
      <c r="V41" s="179">
        <f t="shared" si="5"/>
        <v>4905</v>
      </c>
      <c r="W41" s="180"/>
      <c r="X41" s="186">
        <f t="shared" si="24"/>
      </c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</row>
    <row r="42" spans="1:47" s="181" customFormat="1" ht="12.75">
      <c r="A42" s="83"/>
      <c r="B42" s="191">
        <v>2900</v>
      </c>
      <c r="C42" s="168">
        <f t="shared" si="15"/>
        <v>14.546875</v>
      </c>
      <c r="D42" s="169">
        <f t="shared" si="16"/>
        <v>42185.9375</v>
      </c>
      <c r="E42" s="170">
        <f t="shared" si="6"/>
        <v>0.46511627906976744</v>
      </c>
      <c r="F42" s="168">
        <f t="shared" si="7"/>
        <v>1348.8372093023256</v>
      </c>
      <c r="G42" s="171">
        <f t="shared" si="8"/>
        <v>0.005507901926202582</v>
      </c>
      <c r="H42" s="171">
        <f t="shared" si="9"/>
        <v>7.429263063249994</v>
      </c>
      <c r="I42" s="190">
        <f t="shared" si="25"/>
        <v>14.441332088390917</v>
      </c>
      <c r="J42" s="173">
        <f t="shared" si="17"/>
        <v>6.4</v>
      </c>
      <c r="K42" s="168">
        <f t="shared" si="10"/>
        <v>2.4609374999999996</v>
      </c>
      <c r="L42" s="174">
        <f t="shared" si="11"/>
        <v>0.19789215686274517</v>
      </c>
      <c r="M42" s="184">
        <f t="shared" si="19"/>
        <v>11.583505733448066</v>
      </c>
      <c r="N42" s="175">
        <f t="shared" si="20"/>
        <v>16.76701146689613</v>
      </c>
      <c r="O42" s="175">
        <f t="shared" si="18"/>
        <v>91.70581153196426</v>
      </c>
      <c r="P42" s="185">
        <f t="shared" si="21"/>
        <v>5829.045081128381</v>
      </c>
      <c r="Q42" s="185">
        <f t="shared" si="22"/>
        <v>34735.68867281238</v>
      </c>
      <c r="R42" s="180">
        <f t="shared" si="23"/>
        <v>0.552509762352827</v>
      </c>
      <c r="S42" s="178">
        <f t="shared" si="13"/>
        <v>0.18341162306392852</v>
      </c>
      <c r="T42" s="188">
        <f t="shared" si="26"/>
        <v>15890.609830917461</v>
      </c>
      <c r="U42" s="91"/>
      <c r="V42" s="179">
        <f t="shared" si="5"/>
        <v>4905</v>
      </c>
      <c r="W42" s="180"/>
      <c r="X42" s="186">
        <f t="shared" si="24"/>
      </c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</row>
    <row r="43" spans="1:47" s="181" customFormat="1" ht="12.75">
      <c r="A43" s="83"/>
      <c r="B43" s="191">
        <v>3000</v>
      </c>
      <c r="C43" s="168">
        <f t="shared" si="15"/>
        <v>14.546875</v>
      </c>
      <c r="D43" s="169">
        <f t="shared" si="16"/>
        <v>43640.625</v>
      </c>
      <c r="E43" s="170">
        <f t="shared" si="6"/>
        <v>0.46511627906976744</v>
      </c>
      <c r="F43" s="168">
        <f t="shared" si="7"/>
        <v>1395.3488372093022</v>
      </c>
      <c r="G43" s="171">
        <f t="shared" si="8"/>
        <v>0.005507901926202582</v>
      </c>
      <c r="H43" s="171">
        <f t="shared" si="9"/>
        <v>7.685444548189649</v>
      </c>
      <c r="I43" s="190">
        <f t="shared" si="25"/>
        <v>14.93930905695612</v>
      </c>
      <c r="J43" s="173">
        <f t="shared" si="17"/>
        <v>6.4</v>
      </c>
      <c r="K43" s="168">
        <f t="shared" si="10"/>
        <v>2.4609374999999996</v>
      </c>
      <c r="L43" s="174">
        <f t="shared" si="11"/>
        <v>0.21014705882352946</v>
      </c>
      <c r="M43" s="184">
        <f t="shared" si="19"/>
        <v>11.799857197781076</v>
      </c>
      <c r="N43" s="175">
        <f t="shared" si="20"/>
        <v>17.199714395562154</v>
      </c>
      <c r="O43" s="175">
        <f t="shared" si="18"/>
        <v>91.70581153196426</v>
      </c>
      <c r="P43" s="185">
        <f t="shared" si="21"/>
        <v>6185.756771376475</v>
      </c>
      <c r="Q43" s="185">
        <f t="shared" si="22"/>
        <v>37549.838398238026</v>
      </c>
      <c r="R43" s="180">
        <f t="shared" si="23"/>
        <v>0.5423794451684973</v>
      </c>
      <c r="S43" s="178">
        <f t="shared" si="13"/>
        <v>0.18341162306392852</v>
      </c>
      <c r="T43" s="188">
        <f t="shared" si="26"/>
        <v>16863.044631638244</v>
      </c>
      <c r="U43" s="91"/>
      <c r="V43" s="179">
        <f t="shared" si="5"/>
        <v>4905</v>
      </c>
      <c r="W43" s="180"/>
      <c r="X43" s="186">
        <f t="shared" si="24"/>
      </c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</row>
    <row r="44" spans="1:47" s="181" customFormat="1" ht="12.75">
      <c r="A44" s="189"/>
      <c r="B44" s="182">
        <v>3100</v>
      </c>
      <c r="C44" s="168">
        <f t="shared" si="15"/>
        <v>14.546875</v>
      </c>
      <c r="D44" s="169">
        <f t="shared" si="16"/>
        <v>45095.3125</v>
      </c>
      <c r="E44" s="170">
        <f t="shared" si="6"/>
        <v>0.46511627906976744</v>
      </c>
      <c r="F44" s="168">
        <f t="shared" si="7"/>
        <v>1441.860465116279</v>
      </c>
      <c r="G44" s="171">
        <f t="shared" si="8"/>
        <v>0.005507901926202582</v>
      </c>
      <c r="H44" s="171">
        <f t="shared" si="9"/>
        <v>7.941626033129304</v>
      </c>
      <c r="I44" s="183">
        <f t="shared" si="25"/>
        <v>15.437286025521324</v>
      </c>
      <c r="J44" s="173">
        <f t="shared" si="17"/>
        <v>6.4</v>
      </c>
      <c r="K44" s="168">
        <f t="shared" si="10"/>
        <v>2.4609374999999996</v>
      </c>
      <c r="L44" s="174">
        <f t="shared" si="11"/>
        <v>0.2224019607843138</v>
      </c>
      <c r="M44" s="184">
        <f t="shared" si="19"/>
        <v>12.004003344257097</v>
      </c>
      <c r="N44" s="175">
        <f t="shared" si="20"/>
        <v>17.608006688514195</v>
      </c>
      <c r="O44" s="175">
        <f t="shared" si="18"/>
        <v>91.70581153196426</v>
      </c>
      <c r="P44" s="185">
        <f t="shared" si="21"/>
        <v>6530.678531784703</v>
      </c>
      <c r="Q44" s="185">
        <f t="shared" si="22"/>
        <v>40329.50539031197</v>
      </c>
      <c r="R44" s="180">
        <f t="shared" si="23"/>
        <v>0.5331554662605006</v>
      </c>
      <c r="S44" s="178">
        <f t="shared" si="13"/>
        <v>0.18341162306392852</v>
      </c>
      <c r="T44" s="188">
        <f t="shared" si="26"/>
        <v>17803.338803420385</v>
      </c>
      <c r="U44" s="91"/>
      <c r="V44" s="179">
        <f t="shared" si="5"/>
        <v>4905</v>
      </c>
      <c r="W44" s="180"/>
      <c r="X44" s="186">
        <f t="shared" si="24"/>
      </c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</row>
    <row r="45" spans="1:47" s="181" customFormat="1" ht="12.75">
      <c r="A45" s="189" t="s">
        <v>24</v>
      </c>
      <c r="B45" s="182">
        <v>3200</v>
      </c>
      <c r="C45" s="168">
        <f t="shared" si="15"/>
        <v>14.546875</v>
      </c>
      <c r="D45" s="169">
        <f t="shared" si="16"/>
        <v>46550</v>
      </c>
      <c r="E45" s="170">
        <f>E44</f>
        <v>0.46511627906976744</v>
      </c>
      <c r="F45" s="168">
        <f t="shared" si="7"/>
        <v>1488.3720930232557</v>
      </c>
      <c r="G45" s="171">
        <f>G44</f>
        <v>0.005507901926202582</v>
      </c>
      <c r="H45" s="171">
        <f t="shared" si="9"/>
        <v>8.197807518068958</v>
      </c>
      <c r="I45" s="183">
        <f t="shared" si="25"/>
        <v>15.935262994086525</v>
      </c>
      <c r="J45" s="173">
        <f>J44</f>
        <v>6.4</v>
      </c>
      <c r="K45" s="168">
        <f>K44</f>
        <v>2.4609374999999996</v>
      </c>
      <c r="L45" s="174">
        <f t="shared" si="11"/>
        <v>0.23465686274509803</v>
      </c>
      <c r="M45" s="184">
        <f t="shared" si="19"/>
        <v>12.195944172876123</v>
      </c>
      <c r="N45" s="175">
        <f t="shared" si="20"/>
        <v>17.991888345752244</v>
      </c>
      <c r="O45" s="175">
        <f>O44</f>
        <v>91.70581153196426</v>
      </c>
      <c r="P45" s="185">
        <f t="shared" si="21"/>
        <v>6862.359001704174</v>
      </c>
      <c r="Q45" s="185">
        <f t="shared" si="22"/>
        <v>43055.37176687261</v>
      </c>
      <c r="R45" s="180">
        <f t="shared" si="23"/>
        <v>0.5247646192275668</v>
      </c>
      <c r="S45" s="178">
        <f>S44</f>
        <v>0.18341162306392852</v>
      </c>
      <c r="T45" s="188">
        <f t="shared" si="26"/>
        <v>18707.535779540765</v>
      </c>
      <c r="U45" s="91"/>
      <c r="V45" s="179">
        <f>V44</f>
        <v>4905</v>
      </c>
      <c r="W45" s="180"/>
      <c r="X45" s="186">
        <f t="shared" si="24"/>
      </c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</row>
    <row r="46" spans="1:47" s="181" customFormat="1" ht="12.75">
      <c r="A46" s="189" t="s">
        <v>28</v>
      </c>
      <c r="B46" s="182">
        <v>3300</v>
      </c>
      <c r="C46" s="168">
        <f>C45</f>
        <v>14.546875</v>
      </c>
      <c r="D46" s="169">
        <f>C46*B46</f>
        <v>48004.6875</v>
      </c>
      <c r="E46" s="170">
        <f>E45</f>
        <v>0.46511627906976744</v>
      </c>
      <c r="F46" s="168">
        <f>E46*B46</f>
        <v>1534.8837209302326</v>
      </c>
      <c r="G46" s="171">
        <f>G45</f>
        <v>0.005507901926202582</v>
      </c>
      <c r="H46" s="171">
        <f>G46*F46</f>
        <v>8.453989003008614</v>
      </c>
      <c r="I46" s="183">
        <f t="shared" si="25"/>
        <v>16.433239962651733</v>
      </c>
      <c r="J46" s="173">
        <f>J45</f>
        <v>6.4</v>
      </c>
      <c r="K46" s="168">
        <f>K45</f>
        <v>2.4609374999999996</v>
      </c>
      <c r="L46" s="174">
        <f>K46*(I46-J46)/100</f>
        <v>0.2469117647058824</v>
      </c>
      <c r="M46" s="184">
        <f>(1-L46)*H46*(3600/1852)</f>
        <v>12.375679683638165</v>
      </c>
      <c r="N46" s="175">
        <f>2*M46-J46</f>
        <v>18.35135936727633</v>
      </c>
      <c r="O46" s="175">
        <f>O45</f>
        <v>91.70581153196426</v>
      </c>
      <c r="P46" s="185">
        <f>O46*((N46-J46)*(1852/3600))*((N46+J46)*(1852/3600))</f>
        <v>7179.433593214043</v>
      </c>
      <c r="Q46" s="185">
        <f>(P46*((N46+J46)*(1852/3600))/2)</f>
        <v>45708.579469755736</v>
      </c>
      <c r="R46" s="180">
        <f>J46/M46</f>
        <v>0.5171433136283751</v>
      </c>
      <c r="S46" s="178">
        <f>S45</f>
        <v>0.18341162306392852</v>
      </c>
      <c r="T46" s="188">
        <f>IF(P46/(2*S46)&lt;0.8*V46+101500,P46/(2*S46),"Cavitation ?")</f>
        <v>19571.91554515505</v>
      </c>
      <c r="U46" s="91"/>
      <c r="V46" s="179">
        <f>V45</f>
        <v>4905</v>
      </c>
      <c r="W46" s="180"/>
      <c r="X46" s="186">
        <f>IF(Q46&gt;D46,"Dépassement de la puisance disponible","")</f>
      </c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</row>
    <row r="47" spans="1:47" s="181" customFormat="1" ht="12.75">
      <c r="A47" s="189" t="s">
        <v>27</v>
      </c>
      <c r="B47" s="182">
        <v>3400</v>
      </c>
      <c r="C47" s="168">
        <f t="shared" si="15"/>
        <v>14.546875</v>
      </c>
      <c r="D47" s="169">
        <f t="shared" si="16"/>
        <v>49459.375</v>
      </c>
      <c r="E47" s="170">
        <f>E45</f>
        <v>0.46511627906976744</v>
      </c>
      <c r="F47" s="168">
        <f t="shared" si="7"/>
        <v>1581.3953488372092</v>
      </c>
      <c r="G47" s="171">
        <f>G45</f>
        <v>0.005507901926202582</v>
      </c>
      <c r="H47" s="171">
        <f t="shared" si="9"/>
        <v>8.710170487948268</v>
      </c>
      <c r="I47" s="183">
        <f t="shared" si="25"/>
        <v>16.931216931216934</v>
      </c>
      <c r="J47" s="173">
        <f>J45</f>
        <v>6.4</v>
      </c>
      <c r="K47" s="168">
        <f>K45</f>
        <v>2.4609374999999996</v>
      </c>
      <c r="L47" s="174">
        <f t="shared" si="11"/>
        <v>0.25916666666666666</v>
      </c>
      <c r="M47" s="184">
        <f t="shared" si="19"/>
        <v>12.543209876543214</v>
      </c>
      <c r="N47" s="175">
        <f t="shared" si="20"/>
        <v>18.686419753086426</v>
      </c>
      <c r="O47" s="175">
        <f>O45</f>
        <v>91.70581153196426</v>
      </c>
      <c r="P47" s="185">
        <f t="shared" si="21"/>
        <v>7480.624491121441</v>
      </c>
      <c r="Q47" s="185">
        <f t="shared" si="22"/>
        <v>48270.85878764686</v>
      </c>
      <c r="R47" s="180">
        <f t="shared" si="23"/>
        <v>0.5102362204724408</v>
      </c>
      <c r="S47" s="178">
        <f>S45</f>
        <v>0.18341162306392852</v>
      </c>
      <c r="T47" s="188">
        <f t="shared" si="26"/>
        <v>20392.994637297477</v>
      </c>
      <c r="U47" s="91"/>
      <c r="V47" s="179">
        <f>V45</f>
        <v>4905</v>
      </c>
      <c r="W47" s="180"/>
      <c r="X47" s="186">
        <f t="shared" si="24"/>
      </c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</row>
    <row r="48" spans="1:47" s="181" customFormat="1" ht="12.75">
      <c r="A48" s="83"/>
      <c r="B48" s="182">
        <v>3500</v>
      </c>
      <c r="C48" s="168">
        <f t="shared" si="15"/>
        <v>14.546875</v>
      </c>
      <c r="D48" s="169">
        <f t="shared" si="16"/>
        <v>50914.0625</v>
      </c>
      <c r="E48" s="170">
        <f t="shared" si="6"/>
        <v>0.46511627906976744</v>
      </c>
      <c r="F48" s="168">
        <f t="shared" si="7"/>
        <v>1627.906976744186</v>
      </c>
      <c r="G48" s="171">
        <f t="shared" si="8"/>
        <v>0.005507901926202582</v>
      </c>
      <c r="H48" s="171">
        <f t="shared" si="9"/>
        <v>8.966351972887924</v>
      </c>
      <c r="I48" s="183">
        <f t="shared" si="25"/>
        <v>17.429193899782142</v>
      </c>
      <c r="J48" s="173">
        <f t="shared" si="17"/>
        <v>6.4</v>
      </c>
      <c r="K48" s="168">
        <f t="shared" si="10"/>
        <v>2.4609374999999996</v>
      </c>
      <c r="L48" s="174">
        <f t="shared" si="11"/>
        <v>0.2714215686274511</v>
      </c>
      <c r="M48" s="184">
        <f t="shared" si="19"/>
        <v>12.698534751591271</v>
      </c>
      <c r="N48" s="175">
        <f t="shared" si="20"/>
        <v>18.997069503182544</v>
      </c>
      <c r="O48" s="175">
        <f t="shared" si="18"/>
        <v>91.70581153196426</v>
      </c>
      <c r="P48" s="185">
        <f t="shared" si="21"/>
        <v>7764.740652961556</v>
      </c>
      <c r="Q48" s="185">
        <f t="shared" si="22"/>
        <v>50724.64870630007</v>
      </c>
      <c r="R48" s="180">
        <f t="shared" si="23"/>
        <v>0.5039951557559038</v>
      </c>
      <c r="S48" s="178">
        <f t="shared" si="13"/>
        <v>0.18341162306392852</v>
      </c>
      <c r="T48" s="188">
        <f t="shared" si="26"/>
        <v>21167.526144881067</v>
      </c>
      <c r="U48" s="91"/>
      <c r="V48" s="179">
        <f t="shared" si="5"/>
        <v>4905</v>
      </c>
      <c r="W48" s="180"/>
      <c r="X48" s="186">
        <f t="shared" si="24"/>
      </c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</row>
    <row r="49" spans="1:47" s="181" customFormat="1" ht="13.5" thickBot="1">
      <c r="A49" s="83"/>
      <c r="B49" s="193">
        <v>3600</v>
      </c>
      <c r="C49" s="194">
        <f>C48</f>
        <v>14.546875</v>
      </c>
      <c r="D49" s="195">
        <f t="shared" si="16"/>
        <v>52368.75</v>
      </c>
      <c r="E49" s="196">
        <f>E48</f>
        <v>0.46511627906976744</v>
      </c>
      <c r="F49" s="194">
        <f t="shared" si="7"/>
        <v>1674.4186046511627</v>
      </c>
      <c r="G49" s="197">
        <f>G48</f>
        <v>0.005507901926202582</v>
      </c>
      <c r="H49" s="197">
        <f t="shared" si="9"/>
        <v>9.222533457827579</v>
      </c>
      <c r="I49" s="198">
        <f t="shared" si="25"/>
        <v>17.927170868347343</v>
      </c>
      <c r="J49" s="199">
        <f>J48</f>
        <v>6.4</v>
      </c>
      <c r="K49" s="194">
        <f t="shared" si="10"/>
        <v>2.4609374999999996</v>
      </c>
      <c r="L49" s="200">
        <f t="shared" si="11"/>
        <v>0.2836764705882353</v>
      </c>
      <c r="M49" s="201">
        <f t="shared" si="19"/>
        <v>12.84165430878234</v>
      </c>
      <c r="N49" s="202">
        <f t="shared" si="20"/>
        <v>19.28330861756468</v>
      </c>
      <c r="O49" s="202">
        <f t="shared" si="18"/>
        <v>91.70581153196426</v>
      </c>
      <c r="P49" s="203">
        <f t="shared" si="21"/>
        <v>8030.677808997583</v>
      </c>
      <c r="Q49" s="203">
        <f t="shared" si="22"/>
        <v>53053.2090861212</v>
      </c>
      <c r="R49" s="204">
        <f t="shared" si="23"/>
        <v>0.49837815643605</v>
      </c>
      <c r="S49" s="205">
        <f t="shared" si="13"/>
        <v>0.18341162306392852</v>
      </c>
      <c r="T49" s="206">
        <f>IF(P49/(2*S49)&lt;0.8*V49+101500,P49/(2*S49),"Cavitation ?")</f>
        <v>21892.499708697505</v>
      </c>
      <c r="U49" s="207"/>
      <c r="V49" s="208">
        <f t="shared" si="5"/>
        <v>4905</v>
      </c>
      <c r="W49" s="204"/>
      <c r="X49" s="186" t="str">
        <f t="shared" si="24"/>
        <v>Dépassement de la puisance disponible</v>
      </c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</row>
    <row r="50" spans="1:48" s="26" customFormat="1" ht="18">
      <c r="A50" s="39" t="s">
        <v>50</v>
      </c>
      <c r="B50" s="21"/>
      <c r="C50" s="22"/>
      <c r="E50" s="34"/>
      <c r="G50" s="23"/>
      <c r="I50" s="283" t="s">
        <v>118</v>
      </c>
      <c r="J50" s="22"/>
      <c r="K50" s="22"/>
      <c r="L50" s="284">
        <f>L1</f>
        <v>19.030267019566416</v>
      </c>
      <c r="M50" s="285" t="s">
        <v>10</v>
      </c>
      <c r="N50" s="24"/>
      <c r="O50" s="24"/>
      <c r="P50" s="286">
        <f>P1</f>
        <v>13.010791951659641</v>
      </c>
      <c r="Q50" s="22"/>
      <c r="R50" s="24"/>
      <c r="S50" s="25"/>
      <c r="T50" s="24"/>
      <c r="U50" s="25"/>
      <c r="V50" s="24"/>
      <c r="W50" s="24"/>
      <c r="X50" s="22"/>
      <c r="Y50"/>
      <c r="Z50"/>
      <c r="AA50"/>
      <c r="AB50"/>
      <c r="AC50"/>
      <c r="AD50"/>
      <c r="AE50"/>
      <c r="AP50"/>
      <c r="AQ50"/>
      <c r="AR50"/>
      <c r="AS50"/>
      <c r="AT50"/>
      <c r="AU50"/>
      <c r="AV50"/>
    </row>
    <row r="51" spans="1:48" s="134" customFormat="1" ht="12.75">
      <c r="A51" s="209"/>
      <c r="B51" s="84"/>
      <c r="C51" s="85"/>
      <c r="D51" s="83"/>
      <c r="E51" s="86"/>
      <c r="F51" s="87" t="s">
        <v>58</v>
      </c>
      <c r="G51" s="88"/>
      <c r="H51" s="210">
        <f>H2</f>
        <v>52.36875</v>
      </c>
      <c r="I51" s="85"/>
      <c r="J51" s="85"/>
      <c r="K51" s="85"/>
      <c r="L51" s="90"/>
      <c r="M51" s="83"/>
      <c r="N51" s="90"/>
      <c r="O51" s="90"/>
      <c r="P51" s="83"/>
      <c r="Q51" s="85"/>
      <c r="R51" s="90"/>
      <c r="S51" s="91"/>
      <c r="T51" s="90"/>
      <c r="U51" s="91"/>
      <c r="V51" s="90"/>
      <c r="W51" s="90"/>
      <c r="X51" s="85"/>
      <c r="Y51" s="133"/>
      <c r="Z51" s="133"/>
      <c r="AA51" s="133"/>
      <c r="AB51" s="133"/>
      <c r="AC51" s="133"/>
      <c r="AD51" s="133"/>
      <c r="AE51" s="133"/>
      <c r="AP51" s="133"/>
      <c r="AQ51" s="133"/>
      <c r="AR51" s="133"/>
      <c r="AS51" s="133"/>
      <c r="AT51" s="133"/>
      <c r="AU51" s="133"/>
      <c r="AV51" s="133"/>
    </row>
    <row r="52" spans="1:48" s="166" customFormat="1" ht="12.75">
      <c r="A52" s="93" t="s">
        <v>10</v>
      </c>
      <c r="B52" s="103">
        <f>B3</f>
        <v>0.3304741155721549</v>
      </c>
      <c r="C52" s="85"/>
      <c r="D52" s="83"/>
      <c r="E52" s="86"/>
      <c r="F52" s="95" t="s">
        <v>51</v>
      </c>
      <c r="G52" s="88"/>
      <c r="H52" s="211">
        <f>H3</f>
        <v>3600</v>
      </c>
      <c r="I52" s="97" t="s">
        <v>59</v>
      </c>
      <c r="J52" s="98"/>
      <c r="K52" s="98"/>
      <c r="L52" s="99"/>
      <c r="M52" s="100"/>
      <c r="N52" s="99"/>
      <c r="O52" s="99"/>
      <c r="P52" s="100"/>
      <c r="Q52" s="98"/>
      <c r="R52" s="99"/>
      <c r="S52" s="101"/>
      <c r="T52" s="99"/>
      <c r="U52" s="101"/>
      <c r="V52" s="99"/>
      <c r="W52" s="99"/>
      <c r="X52" s="98"/>
      <c r="Y52" s="212"/>
      <c r="Z52" s="133"/>
      <c r="AA52" s="133"/>
      <c r="AB52" s="133"/>
      <c r="AC52" s="133"/>
      <c r="AD52" s="133"/>
      <c r="AE52" s="133"/>
      <c r="AP52" s="133"/>
      <c r="AQ52" s="133"/>
      <c r="AR52" s="133"/>
      <c r="AS52" s="133"/>
      <c r="AT52" s="133"/>
      <c r="AU52" s="133"/>
      <c r="AV52" s="133"/>
    </row>
    <row r="53" spans="1:48" s="166" customFormat="1" ht="12.75">
      <c r="A53" s="80" t="s">
        <v>102</v>
      </c>
      <c r="B53" s="103">
        <f>B4</f>
        <v>2.4609374999999996</v>
      </c>
      <c r="C53" s="103"/>
      <c r="D53" s="83"/>
      <c r="E53" s="86"/>
      <c r="F53" s="104" t="s">
        <v>112</v>
      </c>
      <c r="G53" s="104"/>
      <c r="H53" s="96">
        <f>H4</f>
        <v>1000</v>
      </c>
      <c r="I53" s="97" t="s">
        <v>60</v>
      </c>
      <c r="J53" s="98"/>
      <c r="K53" s="98"/>
      <c r="L53" s="99"/>
      <c r="M53" s="100"/>
      <c r="N53" s="99"/>
      <c r="O53" s="99"/>
      <c r="P53" s="100"/>
      <c r="Q53" s="98"/>
      <c r="R53" s="99"/>
      <c r="S53" s="101"/>
      <c r="T53" s="99"/>
      <c r="U53" s="101"/>
      <c r="V53" s="99"/>
      <c r="W53" s="99"/>
      <c r="X53" s="100"/>
      <c r="Y53" s="212"/>
      <c r="Z53" s="133"/>
      <c r="AA53" s="133"/>
      <c r="AB53" s="133"/>
      <c r="AC53" s="133"/>
      <c r="AD53" s="133"/>
      <c r="AE53" s="133"/>
      <c r="AP53" s="133"/>
      <c r="AQ53" s="133"/>
      <c r="AR53" s="133"/>
      <c r="AS53" s="133"/>
      <c r="AT53" s="133"/>
      <c r="AU53" s="133"/>
      <c r="AV53" s="133"/>
    </row>
    <row r="54" spans="1:48" s="166" customFormat="1" ht="12.75">
      <c r="A54" s="93" t="s">
        <v>11</v>
      </c>
      <c r="B54" s="213">
        <f>'PAS &amp; DIAMETRE'!E17</f>
        <v>0.483368782296987</v>
      </c>
      <c r="C54" s="103"/>
      <c r="D54" s="83"/>
      <c r="E54" s="86"/>
      <c r="F54" s="95" t="s">
        <v>13</v>
      </c>
      <c r="G54" s="88"/>
      <c r="H54" s="214">
        <f>3.14*B54*B54/4</f>
        <v>0.18341162306392852</v>
      </c>
      <c r="I54" s="83"/>
      <c r="J54" s="83"/>
      <c r="K54" s="83"/>
      <c r="L54" s="90"/>
      <c r="M54" s="83"/>
      <c r="N54" s="90"/>
      <c r="O54" s="90"/>
      <c r="P54" s="83"/>
      <c r="Q54" s="83"/>
      <c r="R54" s="90"/>
      <c r="S54" s="91"/>
      <c r="T54" s="90"/>
      <c r="U54" s="91"/>
      <c r="V54" s="90"/>
      <c r="W54" s="90"/>
      <c r="X54" s="83"/>
      <c r="Y54" s="133"/>
      <c r="Z54" s="133"/>
      <c r="AA54" s="133"/>
      <c r="AB54" s="133"/>
      <c r="AC54" s="133"/>
      <c r="AD54" s="133"/>
      <c r="AE54" s="133"/>
      <c r="AP54" s="133"/>
      <c r="AQ54" s="133"/>
      <c r="AR54" s="133"/>
      <c r="AS54" s="133"/>
      <c r="AT54" s="133"/>
      <c r="AU54" s="133"/>
      <c r="AV54" s="133"/>
    </row>
    <row r="55" spans="1:48" s="166" customFormat="1" ht="12.75">
      <c r="A55" s="93" t="s">
        <v>12</v>
      </c>
      <c r="B55" s="103">
        <f>B6</f>
        <v>0.28</v>
      </c>
      <c r="C55" s="103"/>
      <c r="D55" s="83"/>
      <c r="E55" s="86"/>
      <c r="F55" s="111" t="s">
        <v>113</v>
      </c>
      <c r="G55" s="104"/>
      <c r="H55" s="103">
        <f>H54*H53/2</f>
        <v>91.70581153196426</v>
      </c>
      <c r="I55" s="112" t="s">
        <v>114</v>
      </c>
      <c r="J55" s="112"/>
      <c r="K55" s="112"/>
      <c r="L55" s="90"/>
      <c r="M55" s="83"/>
      <c r="N55" s="90"/>
      <c r="O55" s="90"/>
      <c r="P55" s="83"/>
      <c r="Q55" s="215" t="s">
        <v>73</v>
      </c>
      <c r="R55" s="114"/>
      <c r="S55" s="115"/>
      <c r="T55" s="114"/>
      <c r="U55" s="115"/>
      <c r="V55" s="114"/>
      <c r="W55" s="114"/>
      <c r="X55" s="83"/>
      <c r="Y55" s="133"/>
      <c r="Z55" s="133"/>
      <c r="AA55" s="133"/>
      <c r="AB55" s="133"/>
      <c r="AC55" s="133"/>
      <c r="AD55" s="133"/>
      <c r="AE55" s="133"/>
      <c r="AP55" s="133"/>
      <c r="AQ55" s="133"/>
      <c r="AR55" s="133"/>
      <c r="AS55" s="133"/>
      <c r="AT55" s="133"/>
      <c r="AU55" s="133"/>
      <c r="AV55" s="133"/>
    </row>
    <row r="56" spans="1:48" s="166" customFormat="1" ht="12.75">
      <c r="A56" s="117" t="s">
        <v>22</v>
      </c>
      <c r="B56" s="213">
        <f>'PAS &amp; DIAMETRE'!B17</f>
        <v>0.46511627906976744</v>
      </c>
      <c r="C56" s="103"/>
      <c r="D56" s="83"/>
      <c r="E56" s="86"/>
      <c r="F56" s="117" t="s">
        <v>68</v>
      </c>
      <c r="G56" s="118"/>
      <c r="H56" s="213">
        <f>H7</f>
        <v>0.515</v>
      </c>
      <c r="I56" s="112" t="s">
        <v>15</v>
      </c>
      <c r="J56" s="112"/>
      <c r="K56" s="112"/>
      <c r="L56" s="90"/>
      <c r="M56" s="83"/>
      <c r="N56" s="90"/>
      <c r="O56" s="90"/>
      <c r="P56" s="83"/>
      <c r="Q56" s="216" t="s">
        <v>75</v>
      </c>
      <c r="R56" s="120"/>
      <c r="S56" s="112"/>
      <c r="T56" s="120"/>
      <c r="U56" s="112"/>
      <c r="V56" s="120"/>
      <c r="W56" s="120"/>
      <c r="X56" s="83"/>
      <c r="Y56" s="133"/>
      <c r="Z56" s="133"/>
      <c r="AA56" s="133"/>
      <c r="AB56" s="133"/>
      <c r="AC56" s="133"/>
      <c r="AD56" s="133"/>
      <c r="AE56" s="133"/>
      <c r="AP56" s="133"/>
      <c r="AQ56" s="133"/>
      <c r="AR56" s="133"/>
      <c r="AS56" s="133"/>
      <c r="AT56" s="133"/>
      <c r="AU56" s="133"/>
      <c r="AV56" s="133"/>
    </row>
    <row r="57" spans="1:48" s="166" customFormat="1" ht="12.75">
      <c r="A57" s="117"/>
      <c r="B57" s="123"/>
      <c r="C57" s="123"/>
      <c r="D57" s="83"/>
      <c r="E57" s="86"/>
      <c r="F57" s="117" t="s">
        <v>74</v>
      </c>
      <c r="G57" s="118"/>
      <c r="H57" s="210">
        <f>H8</f>
        <v>0.5</v>
      </c>
      <c r="I57" s="112"/>
      <c r="J57" s="112"/>
      <c r="K57" s="112"/>
      <c r="L57" s="90"/>
      <c r="M57" s="83"/>
      <c r="N57" s="90"/>
      <c r="O57" s="90"/>
      <c r="P57" s="83"/>
      <c r="Q57" s="112"/>
      <c r="R57" s="120"/>
      <c r="S57" s="112"/>
      <c r="T57" s="120"/>
      <c r="U57" s="112"/>
      <c r="V57" s="120"/>
      <c r="W57" s="120"/>
      <c r="X57" s="83"/>
      <c r="Y57" s="133"/>
      <c r="Z57" s="133"/>
      <c r="AA57" s="133"/>
      <c r="AB57" s="133"/>
      <c r="AC57" s="133"/>
      <c r="AD57" s="133"/>
      <c r="AE57" s="133"/>
      <c r="AP57" s="133"/>
      <c r="AQ57" s="133"/>
      <c r="AR57" s="133"/>
      <c r="AS57" s="133"/>
      <c r="AT57" s="133"/>
      <c r="AU57" s="133"/>
      <c r="AV57" s="133"/>
    </row>
    <row r="58" spans="1:48" s="166" customFormat="1" ht="12.75">
      <c r="A58" s="125" t="s">
        <v>64</v>
      </c>
      <c r="B58" s="123"/>
      <c r="C58" s="123"/>
      <c r="D58" s="83"/>
      <c r="E58" s="86"/>
      <c r="F58" s="122"/>
      <c r="G58" s="118"/>
      <c r="H58" s="113"/>
      <c r="I58" s="112"/>
      <c r="J58" s="112"/>
      <c r="K58" s="112"/>
      <c r="L58" s="90"/>
      <c r="M58" s="83"/>
      <c r="N58" s="90"/>
      <c r="O58" s="90"/>
      <c r="P58" s="83"/>
      <c r="Q58" s="112"/>
      <c r="R58" s="120"/>
      <c r="S58" s="112"/>
      <c r="T58" s="120"/>
      <c r="U58" s="112"/>
      <c r="V58" s="120"/>
      <c r="W58" s="120"/>
      <c r="X58" s="83"/>
      <c r="Y58" s="133"/>
      <c r="Z58" s="133"/>
      <c r="AA58" s="133"/>
      <c r="AB58" s="133"/>
      <c r="AC58" s="133"/>
      <c r="AD58" s="133"/>
      <c r="AE58" s="133"/>
      <c r="AP58" s="133"/>
      <c r="AQ58" s="133"/>
      <c r="AR58" s="133"/>
      <c r="AS58" s="133"/>
      <c r="AT58" s="133"/>
      <c r="AU58" s="133"/>
      <c r="AV58" s="133"/>
    </row>
    <row r="59" spans="1:48" s="166" customFormat="1" ht="12.75">
      <c r="A59" s="217" t="s">
        <v>62</v>
      </c>
      <c r="B59" s="218"/>
      <c r="C59" s="127"/>
      <c r="D59" s="219"/>
      <c r="E59" s="220"/>
      <c r="F59" s="217"/>
      <c r="G59" s="221"/>
      <c r="H59" s="217"/>
      <c r="I59" s="218"/>
      <c r="J59" s="217"/>
      <c r="K59" s="217"/>
      <c r="L59" s="99"/>
      <c r="M59" s="217"/>
      <c r="N59" s="222"/>
      <c r="O59" s="222"/>
      <c r="P59" s="217"/>
      <c r="Q59" s="223"/>
      <c r="R59" s="222"/>
      <c r="S59" s="223"/>
      <c r="T59" s="222"/>
      <c r="U59" s="223"/>
      <c r="V59" s="222"/>
      <c r="W59" s="222"/>
      <c r="X59" s="223"/>
      <c r="Y59" s="133"/>
      <c r="Z59" s="133"/>
      <c r="AA59" s="133"/>
      <c r="AB59" s="133"/>
      <c r="AC59" s="133"/>
      <c r="AD59" s="133"/>
      <c r="AE59" s="133"/>
      <c r="AP59" s="133"/>
      <c r="AQ59" s="133"/>
      <c r="AR59" s="133"/>
      <c r="AS59" s="133"/>
      <c r="AT59" s="133"/>
      <c r="AU59" s="133"/>
      <c r="AV59" s="133"/>
    </row>
    <row r="60" spans="1:48" s="181" customFormat="1" ht="13.5" thickBot="1">
      <c r="A60" s="126" t="s">
        <v>61</v>
      </c>
      <c r="B60" s="224"/>
      <c r="C60" s="127"/>
      <c r="D60" s="128"/>
      <c r="E60" s="225"/>
      <c r="F60" s="127"/>
      <c r="G60" s="221"/>
      <c r="H60" s="226"/>
      <c r="I60" s="98"/>
      <c r="J60" s="100"/>
      <c r="K60" s="100"/>
      <c r="L60" s="227" t="s">
        <v>54</v>
      </c>
      <c r="M60" s="228">
        <v>7</v>
      </c>
      <c r="N60" s="90"/>
      <c r="O60" s="90"/>
      <c r="P60" s="83"/>
      <c r="Q60" s="132"/>
      <c r="R60" s="114"/>
      <c r="S60" s="115"/>
      <c r="T60" s="229" t="s">
        <v>72</v>
      </c>
      <c r="U60" s="230" t="s">
        <v>72</v>
      </c>
      <c r="V60" s="229"/>
      <c r="W60" s="114" t="s">
        <v>70</v>
      </c>
      <c r="X60" s="133"/>
      <c r="Y60" s="133"/>
      <c r="Z60" s="133"/>
      <c r="AA60" s="133"/>
      <c r="AB60" s="133"/>
      <c r="AC60" s="133"/>
      <c r="AD60" s="133"/>
      <c r="AE60" s="133"/>
      <c r="AP60" s="133"/>
      <c r="AQ60" s="133"/>
      <c r="AR60" s="133"/>
      <c r="AS60" s="133"/>
      <c r="AT60" s="133"/>
      <c r="AU60" s="133"/>
      <c r="AV60" s="133"/>
    </row>
    <row r="61" spans="1:48" s="181" customFormat="1" ht="13.5" thickBot="1">
      <c r="A61" s="134"/>
      <c r="B61" s="135" t="s">
        <v>8</v>
      </c>
      <c r="C61" s="136" t="s">
        <v>52</v>
      </c>
      <c r="D61" s="137" t="s">
        <v>14</v>
      </c>
      <c r="E61" s="138" t="s">
        <v>53</v>
      </c>
      <c r="F61" s="136" t="s">
        <v>9</v>
      </c>
      <c r="G61" s="139" t="s">
        <v>57</v>
      </c>
      <c r="H61" s="139" t="s">
        <v>79</v>
      </c>
      <c r="I61" s="140" t="s">
        <v>78</v>
      </c>
      <c r="J61" s="141" t="s">
        <v>55</v>
      </c>
      <c r="K61" s="136" t="s">
        <v>63</v>
      </c>
      <c r="L61" s="142" t="s">
        <v>7</v>
      </c>
      <c r="M61" s="136" t="s">
        <v>82</v>
      </c>
      <c r="N61" s="142" t="s">
        <v>16</v>
      </c>
      <c r="O61" s="143" t="s">
        <v>115</v>
      </c>
      <c r="P61" s="145" t="s">
        <v>81</v>
      </c>
      <c r="Q61" s="145" t="s">
        <v>80</v>
      </c>
      <c r="R61" s="146" t="s">
        <v>23</v>
      </c>
      <c r="S61" s="147" t="s">
        <v>69</v>
      </c>
      <c r="T61" s="142" t="s">
        <v>76</v>
      </c>
      <c r="U61" s="145" t="s">
        <v>71</v>
      </c>
      <c r="V61" s="142" t="s">
        <v>67</v>
      </c>
      <c r="W61" s="231" t="s">
        <v>77</v>
      </c>
      <c r="X61" s="232"/>
      <c r="Y61" s="133"/>
      <c r="Z61" s="133"/>
      <c r="AA61" s="133"/>
      <c r="AB61" s="133"/>
      <c r="AC61" s="133"/>
      <c r="AD61" s="133"/>
      <c r="AE61" s="133"/>
      <c r="AP61" s="133"/>
      <c r="AQ61" s="133"/>
      <c r="AR61" s="133"/>
      <c r="AS61" s="133"/>
      <c r="AT61" s="133"/>
      <c r="AU61" s="133"/>
      <c r="AV61" s="133"/>
    </row>
    <row r="62" spans="1:48" s="181" customFormat="1" ht="12.75" hidden="1">
      <c r="A62" s="134"/>
      <c r="B62" s="150"/>
      <c r="C62" s="151">
        <f>H51*1000/H52</f>
        <v>14.546875</v>
      </c>
      <c r="D62" s="152"/>
      <c r="E62" s="153">
        <f>B56</f>
        <v>0.46511627906976744</v>
      </c>
      <c r="F62" s="154"/>
      <c r="G62" s="155">
        <f>B52/60</f>
        <v>0.005507901926202582</v>
      </c>
      <c r="H62" s="155"/>
      <c r="I62" s="156"/>
      <c r="J62" s="157">
        <f>M60</f>
        <v>7</v>
      </c>
      <c r="K62" s="151">
        <f>B53</f>
        <v>2.4609374999999996</v>
      </c>
      <c r="L62" s="158"/>
      <c r="M62" s="154"/>
      <c r="N62" s="158"/>
      <c r="O62" s="159">
        <f>H55</f>
        <v>91.70581153196426</v>
      </c>
      <c r="P62" s="160"/>
      <c r="Q62" s="160"/>
      <c r="R62" s="161"/>
      <c r="S62" s="162">
        <f>H54</f>
        <v>0.18341162306392852</v>
      </c>
      <c r="T62" s="233"/>
      <c r="U62" s="234"/>
      <c r="V62" s="235">
        <f>H56</f>
        <v>0.515</v>
      </c>
      <c r="W62" s="236"/>
      <c r="X62" s="133"/>
      <c r="Y62" s="133"/>
      <c r="Z62" s="133"/>
      <c r="AA62" s="133"/>
      <c r="AB62" s="133"/>
      <c r="AC62" s="133"/>
      <c r="AD62" s="133"/>
      <c r="AE62" s="133"/>
      <c r="AP62" s="133"/>
      <c r="AQ62" s="133"/>
      <c r="AR62" s="133"/>
      <c r="AS62" s="133"/>
      <c r="AT62" s="133"/>
      <c r="AU62" s="133"/>
      <c r="AV62" s="133"/>
    </row>
    <row r="63" spans="1:48" s="181" customFormat="1" ht="12.75" hidden="1">
      <c r="A63" s="166"/>
      <c r="B63" s="167">
        <v>0</v>
      </c>
      <c r="C63" s="168">
        <f>C62</f>
        <v>14.546875</v>
      </c>
      <c r="D63" s="169">
        <f>C63*B63</f>
        <v>0</v>
      </c>
      <c r="E63" s="170">
        <f>E62</f>
        <v>0.46511627906976744</v>
      </c>
      <c r="F63" s="168">
        <f>E63*B63</f>
        <v>0</v>
      </c>
      <c r="G63" s="171">
        <f>G62</f>
        <v>0.005507901926202582</v>
      </c>
      <c r="H63" s="171">
        <f>G63*F63</f>
        <v>0</v>
      </c>
      <c r="I63" s="172">
        <f aca="true" t="shared" si="27" ref="I63:I70">H63*(3600/1852)</f>
        <v>0</v>
      </c>
      <c r="J63" s="173">
        <f>J62</f>
        <v>7</v>
      </c>
      <c r="K63" s="168">
        <f>K62</f>
        <v>2.4609374999999996</v>
      </c>
      <c r="L63" s="174">
        <f>K63*(I63-J63)/100</f>
        <v>-0.17226562499999998</v>
      </c>
      <c r="M63" s="168">
        <f aca="true" t="shared" si="28" ref="M63:M99">(1-L63)*H63*(3600/1852)</f>
        <v>0</v>
      </c>
      <c r="N63" s="175">
        <f aca="true" t="shared" si="29" ref="N63:N69">2*M63-J63</f>
        <v>-7</v>
      </c>
      <c r="O63" s="175">
        <f>O62</f>
        <v>91.70581153196426</v>
      </c>
      <c r="P63" s="176">
        <f aca="true" t="shared" si="30" ref="P63:P69">O63*((N63-J63)*(1852/3600))*((N63+J63)*(1852/3600))</f>
        <v>0</v>
      </c>
      <c r="Q63" s="176">
        <f aca="true" t="shared" si="31" ref="Q63:Q69">(P63*((N63+J63)*(1852/3600))/2)</f>
        <v>0</v>
      </c>
      <c r="R63" s="177"/>
      <c r="S63" s="178">
        <f>S62</f>
        <v>0.18341162306392852</v>
      </c>
      <c r="T63" s="174">
        <f>P63/(S63)</f>
        <v>0</v>
      </c>
      <c r="U63" s="237">
        <f>T63/(9.81*10000)</f>
        <v>0</v>
      </c>
      <c r="V63" s="237">
        <f>V62</f>
        <v>0.515</v>
      </c>
      <c r="W63" s="180">
        <f aca="true" t="shared" si="32" ref="W63:W76">U63/V63</f>
        <v>0</v>
      </c>
      <c r="X63" s="133"/>
      <c r="Y63" s="133"/>
      <c r="Z63" s="133"/>
      <c r="AA63" s="133"/>
      <c r="AB63" s="133"/>
      <c r="AC63" s="133"/>
      <c r="AD63" s="133"/>
      <c r="AE63" s="133"/>
      <c r="AP63" s="133"/>
      <c r="AQ63" s="133"/>
      <c r="AR63" s="133"/>
      <c r="AS63" s="133"/>
      <c r="AT63" s="133"/>
      <c r="AU63" s="133"/>
      <c r="AV63" s="133"/>
    </row>
    <row r="64" spans="1:48" s="181" customFormat="1" ht="12.75" hidden="1">
      <c r="A64" s="166"/>
      <c r="B64" s="167">
        <v>100</v>
      </c>
      <c r="C64" s="168">
        <f>C63</f>
        <v>14.546875</v>
      </c>
      <c r="D64" s="169">
        <f>C64*B64</f>
        <v>1454.6875</v>
      </c>
      <c r="E64" s="170">
        <f aca="true" t="shared" si="33" ref="E64:E98">E63</f>
        <v>0.46511627906976744</v>
      </c>
      <c r="F64" s="168">
        <f aca="true" t="shared" si="34" ref="F64:F99">E64*B64</f>
        <v>46.51162790697674</v>
      </c>
      <c r="G64" s="171">
        <f aca="true" t="shared" si="35" ref="G64:G98">G63</f>
        <v>0.005507901926202582</v>
      </c>
      <c r="H64" s="171">
        <f aca="true" t="shared" si="36" ref="H64:H99">G64*F64</f>
        <v>0.2561814849396549</v>
      </c>
      <c r="I64" s="172">
        <f t="shared" si="27"/>
        <v>0.4979769685652039</v>
      </c>
      <c r="J64" s="173">
        <f>J63</f>
        <v>7</v>
      </c>
      <c r="K64" s="168">
        <f aca="true" t="shared" si="37" ref="K64:K99">K63</f>
        <v>2.4609374999999996</v>
      </c>
      <c r="L64" s="174">
        <f aca="true" t="shared" si="38" ref="L64:L99">K64*(I64-J64)/100</f>
        <v>-0.16001072303921568</v>
      </c>
      <c r="M64" s="168">
        <f t="shared" si="28"/>
        <v>0.577658623362199</v>
      </c>
      <c r="N64" s="175">
        <f t="shared" si="29"/>
        <v>-5.8446827532756025</v>
      </c>
      <c r="O64" s="175">
        <f>O63</f>
        <v>91.70581153196426</v>
      </c>
      <c r="P64" s="176">
        <f t="shared" si="30"/>
        <v>-360.16247360072884</v>
      </c>
      <c r="Q64" s="176">
        <f t="shared" si="31"/>
        <v>-107.03065985782729</v>
      </c>
      <c r="R64" s="177">
        <f aca="true" t="shared" si="39" ref="R64:R70">J64/M64</f>
        <v>12.1178836719467</v>
      </c>
      <c r="S64" s="178">
        <f aca="true" t="shared" si="40" ref="S64:S99">S63</f>
        <v>0.18341162306392852</v>
      </c>
      <c r="T64" s="174">
        <f aca="true" t="shared" si="41" ref="T64:T99">P64/(S64)</f>
        <v>-1963.6840216783503</v>
      </c>
      <c r="U64" s="237">
        <f aca="true" t="shared" si="42" ref="U64:U99">T64/(9.81*10000)</f>
        <v>-0.020017166377964836</v>
      </c>
      <c r="V64" s="237">
        <f aca="true" t="shared" si="43" ref="V64:V99">V63</f>
        <v>0.515</v>
      </c>
      <c r="W64" s="180">
        <f t="shared" si="32"/>
        <v>-0.038868284229057935</v>
      </c>
      <c r="X64" s="133"/>
      <c r="Y64" s="133"/>
      <c r="Z64" s="133"/>
      <c r="AA64" s="133"/>
      <c r="AB64" s="133"/>
      <c r="AC64" s="133"/>
      <c r="AD64" s="133"/>
      <c r="AE64" s="133"/>
      <c r="AP64" s="133"/>
      <c r="AQ64" s="133"/>
      <c r="AR64" s="133"/>
      <c r="AS64" s="133"/>
      <c r="AT64" s="133"/>
      <c r="AU64" s="133"/>
      <c r="AV64" s="133"/>
    </row>
    <row r="65" spans="1:48" s="181" customFormat="1" ht="12.75" hidden="1">
      <c r="A65" s="166"/>
      <c r="B65" s="167">
        <v>200</v>
      </c>
      <c r="C65" s="168">
        <f aca="true" t="shared" si="44" ref="C65:C98">C64</f>
        <v>14.546875</v>
      </c>
      <c r="D65" s="169">
        <f aca="true" t="shared" si="45" ref="D65:D73">C65*B65</f>
        <v>2909.375</v>
      </c>
      <c r="E65" s="170">
        <f t="shared" si="33"/>
        <v>0.46511627906976744</v>
      </c>
      <c r="F65" s="168">
        <f t="shared" si="34"/>
        <v>93.02325581395348</v>
      </c>
      <c r="G65" s="171">
        <f t="shared" si="35"/>
        <v>0.005507901926202582</v>
      </c>
      <c r="H65" s="171">
        <f t="shared" si="36"/>
        <v>0.5123629698793098</v>
      </c>
      <c r="I65" s="172">
        <f t="shared" si="27"/>
        <v>0.9959539371304078</v>
      </c>
      <c r="J65" s="173">
        <f aca="true" t="shared" si="46" ref="J65:J98">J64</f>
        <v>7</v>
      </c>
      <c r="K65" s="168">
        <f t="shared" si="37"/>
        <v>2.4609374999999996</v>
      </c>
      <c r="L65" s="174">
        <f t="shared" si="38"/>
        <v>-0.14775582107843133</v>
      </c>
      <c r="M65" s="168">
        <f t="shared" si="28"/>
        <v>1.1431119288674076</v>
      </c>
      <c r="N65" s="175">
        <f t="shared" si="29"/>
        <v>-4.713776142265185</v>
      </c>
      <c r="O65" s="175">
        <f aca="true" t="shared" si="47" ref="O65:O99">O64</f>
        <v>91.70581153196426</v>
      </c>
      <c r="P65" s="176">
        <f t="shared" si="30"/>
        <v>-649.9642865245198</v>
      </c>
      <c r="Q65" s="176">
        <f t="shared" si="31"/>
        <v>-382.2229258324657</v>
      </c>
      <c r="R65" s="177">
        <f t="shared" si="39"/>
        <v>6.1236348105785074</v>
      </c>
      <c r="S65" s="178">
        <f t="shared" si="40"/>
        <v>0.18341162306392852</v>
      </c>
      <c r="T65" s="174">
        <f t="shared" si="41"/>
        <v>-3543.7464412927275</v>
      </c>
      <c r="U65" s="237">
        <f t="shared" si="42"/>
        <v>-0.03612381693468632</v>
      </c>
      <c r="V65" s="237">
        <f t="shared" si="43"/>
        <v>0.515</v>
      </c>
      <c r="W65" s="180">
        <f t="shared" si="32"/>
        <v>-0.07014333385375984</v>
      </c>
      <c r="X65" s="133"/>
      <c r="Y65" s="133"/>
      <c r="Z65" s="133"/>
      <c r="AA65" s="133"/>
      <c r="AB65" s="133"/>
      <c r="AC65" s="133"/>
      <c r="AD65" s="133"/>
      <c r="AE65" s="133"/>
      <c r="AP65" s="133"/>
      <c r="AQ65" s="133"/>
      <c r="AR65" s="133"/>
      <c r="AS65" s="133"/>
      <c r="AT65" s="133"/>
      <c r="AU65" s="133"/>
      <c r="AV65" s="133"/>
    </row>
    <row r="66" spans="1:48" s="181" customFormat="1" ht="12.75" hidden="1">
      <c r="A66" s="166"/>
      <c r="B66" s="167">
        <v>300</v>
      </c>
      <c r="C66" s="168">
        <f t="shared" si="44"/>
        <v>14.546875</v>
      </c>
      <c r="D66" s="169">
        <f t="shared" si="45"/>
        <v>4364.0625</v>
      </c>
      <c r="E66" s="170">
        <f t="shared" si="33"/>
        <v>0.46511627906976744</v>
      </c>
      <c r="F66" s="168">
        <f t="shared" si="34"/>
        <v>139.53488372093022</v>
      </c>
      <c r="G66" s="171">
        <f t="shared" si="35"/>
        <v>0.005507901926202582</v>
      </c>
      <c r="H66" s="171">
        <f t="shared" si="36"/>
        <v>0.7685444548189648</v>
      </c>
      <c r="I66" s="172">
        <f t="shared" si="27"/>
        <v>1.4939309056956118</v>
      </c>
      <c r="J66" s="173">
        <f t="shared" si="46"/>
        <v>7</v>
      </c>
      <c r="K66" s="168">
        <f t="shared" si="37"/>
        <v>2.4609374999999996</v>
      </c>
      <c r="L66" s="174">
        <f t="shared" si="38"/>
        <v>-0.13550091911764703</v>
      </c>
      <c r="M66" s="168">
        <f t="shared" si="28"/>
        <v>1.6963599165156262</v>
      </c>
      <c r="N66" s="175">
        <f t="shared" si="29"/>
        <v>-3.6072801669687475</v>
      </c>
      <c r="O66" s="175">
        <f t="shared" si="47"/>
        <v>91.70581153196426</v>
      </c>
      <c r="P66" s="176">
        <f t="shared" si="30"/>
        <v>-873.4254836782227</v>
      </c>
      <c r="Q66" s="176">
        <f t="shared" si="31"/>
        <v>-762.2235144513666</v>
      </c>
      <c r="R66" s="177">
        <f t="shared" si="39"/>
        <v>4.126482789323512</v>
      </c>
      <c r="S66" s="178">
        <f t="shared" si="40"/>
        <v>0.18341162306392852</v>
      </c>
      <c r="T66" s="174">
        <f t="shared" si="41"/>
        <v>-4762.105416698637</v>
      </c>
      <c r="U66" s="237">
        <f t="shared" si="42"/>
        <v>-0.048543378355745535</v>
      </c>
      <c r="V66" s="237">
        <f t="shared" si="43"/>
        <v>0.515</v>
      </c>
      <c r="W66" s="180">
        <f t="shared" si="32"/>
        <v>-0.09425898709853502</v>
      </c>
      <c r="X66" s="133"/>
      <c r="Y66" s="133"/>
      <c r="Z66" s="133"/>
      <c r="AA66" s="133"/>
      <c r="AB66" s="133"/>
      <c r="AC66" s="133"/>
      <c r="AD66" s="133"/>
      <c r="AE66" s="133"/>
      <c r="AP66" s="133"/>
      <c r="AQ66" s="133"/>
      <c r="AR66" s="133"/>
      <c r="AS66" s="133"/>
      <c r="AT66" s="133"/>
      <c r="AU66" s="133"/>
      <c r="AV66" s="133"/>
    </row>
    <row r="67" spans="1:48" s="181" customFormat="1" ht="12.75" hidden="1">
      <c r="A67" s="166"/>
      <c r="B67" s="167">
        <v>400</v>
      </c>
      <c r="C67" s="168">
        <f t="shared" si="44"/>
        <v>14.546875</v>
      </c>
      <c r="D67" s="169">
        <f t="shared" si="45"/>
        <v>5818.75</v>
      </c>
      <c r="E67" s="170">
        <f t="shared" si="33"/>
        <v>0.46511627906976744</v>
      </c>
      <c r="F67" s="168">
        <f t="shared" si="34"/>
        <v>186.04651162790697</v>
      </c>
      <c r="G67" s="171">
        <f t="shared" si="35"/>
        <v>0.005507901926202582</v>
      </c>
      <c r="H67" s="171">
        <f t="shared" si="36"/>
        <v>1.0247259397586197</v>
      </c>
      <c r="I67" s="172">
        <f t="shared" si="27"/>
        <v>1.9919078742608156</v>
      </c>
      <c r="J67" s="173">
        <f t="shared" si="46"/>
        <v>7</v>
      </c>
      <c r="K67" s="168">
        <f t="shared" si="37"/>
        <v>2.4609374999999996</v>
      </c>
      <c r="L67" s="174">
        <f t="shared" si="38"/>
        <v>-0.1232460171568627</v>
      </c>
      <c r="M67" s="168">
        <f t="shared" si="28"/>
        <v>2.237402586306854</v>
      </c>
      <c r="N67" s="175">
        <f t="shared" si="29"/>
        <v>-2.525194827386292</v>
      </c>
      <c r="O67" s="175">
        <f t="shared" si="47"/>
        <v>91.70581153196426</v>
      </c>
      <c r="P67" s="176">
        <f t="shared" si="30"/>
        <v>-1034.4793372406655</v>
      </c>
      <c r="Q67" s="176">
        <f t="shared" si="31"/>
        <v>-1190.7057141784132</v>
      </c>
      <c r="R67" s="177">
        <f t="shared" si="39"/>
        <v>3.1286278307000974</v>
      </c>
      <c r="S67" s="178">
        <f t="shared" si="40"/>
        <v>0.18341162306392852</v>
      </c>
      <c r="T67" s="174">
        <f t="shared" si="41"/>
        <v>-5640.206001994189</v>
      </c>
      <c r="U67" s="237">
        <f t="shared" si="42"/>
        <v>-0.05749445465845249</v>
      </c>
      <c r="V67" s="237">
        <f t="shared" si="43"/>
        <v>0.515</v>
      </c>
      <c r="W67" s="180">
        <f t="shared" si="32"/>
        <v>-0.11163971778340288</v>
      </c>
      <c r="X67" s="133"/>
      <c r="Y67" s="133"/>
      <c r="Z67" s="133"/>
      <c r="AA67" s="133"/>
      <c r="AB67" s="133"/>
      <c r="AC67" s="133"/>
      <c r="AD67" s="133"/>
      <c r="AE67" s="133"/>
      <c r="AP67" s="133"/>
      <c r="AQ67" s="133"/>
      <c r="AR67" s="133"/>
      <c r="AS67" s="133"/>
      <c r="AT67" s="133"/>
      <c r="AU67" s="133"/>
      <c r="AV67" s="133"/>
    </row>
    <row r="68" spans="1:48" s="181" customFormat="1" ht="12.75" hidden="1">
      <c r="A68" s="166"/>
      <c r="B68" s="167">
        <v>500</v>
      </c>
      <c r="C68" s="168">
        <f t="shared" si="44"/>
        <v>14.546875</v>
      </c>
      <c r="D68" s="169">
        <f t="shared" si="45"/>
        <v>7273.4375</v>
      </c>
      <c r="E68" s="170">
        <f t="shared" si="33"/>
        <v>0.46511627906976744</v>
      </c>
      <c r="F68" s="168">
        <f t="shared" si="34"/>
        <v>232.5581395348837</v>
      </c>
      <c r="G68" s="171">
        <f t="shared" si="35"/>
        <v>0.005507901926202582</v>
      </c>
      <c r="H68" s="171">
        <f t="shared" si="36"/>
        <v>1.2809074246982748</v>
      </c>
      <c r="I68" s="172">
        <f t="shared" si="27"/>
        <v>2.48988484282602</v>
      </c>
      <c r="J68" s="173">
        <f t="shared" si="46"/>
        <v>7</v>
      </c>
      <c r="K68" s="168">
        <f t="shared" si="37"/>
        <v>2.4609374999999996</v>
      </c>
      <c r="L68" s="174">
        <f t="shared" si="38"/>
        <v>-0.11099111519607838</v>
      </c>
      <c r="M68" s="168">
        <f t="shared" si="28"/>
        <v>2.766239938241092</v>
      </c>
      <c r="N68" s="175">
        <f t="shared" si="29"/>
        <v>-1.467520123517816</v>
      </c>
      <c r="O68" s="175">
        <f t="shared" si="47"/>
        <v>91.70581153196426</v>
      </c>
      <c r="P68" s="176">
        <f t="shared" si="30"/>
        <v>-1136.9723466626554</v>
      </c>
      <c r="Q68" s="176">
        <f t="shared" si="31"/>
        <v>-1617.9989326538348</v>
      </c>
      <c r="R68" s="177">
        <f t="shared" si="39"/>
        <v>2.5305107858615243</v>
      </c>
      <c r="S68" s="178">
        <f t="shared" si="40"/>
        <v>0.18341162306392852</v>
      </c>
      <c r="T68" s="174">
        <f t="shared" si="41"/>
        <v>-6199.020147520101</v>
      </c>
      <c r="U68" s="237">
        <f t="shared" si="42"/>
        <v>-0.06319082719184609</v>
      </c>
      <c r="V68" s="237">
        <f t="shared" si="43"/>
        <v>0.515</v>
      </c>
      <c r="W68" s="180">
        <f t="shared" si="32"/>
        <v>-0.12270063532397298</v>
      </c>
      <c r="X68" s="133"/>
      <c r="Y68" s="133"/>
      <c r="Z68" s="133"/>
      <c r="AA68" s="133"/>
      <c r="AB68" s="133"/>
      <c r="AC68" s="133"/>
      <c r="AD68" s="133"/>
      <c r="AE68" s="133"/>
      <c r="AP68" s="133"/>
      <c r="AQ68" s="133"/>
      <c r="AR68" s="133"/>
      <c r="AS68" s="133"/>
      <c r="AT68" s="133"/>
      <c r="AU68" s="133"/>
      <c r="AV68" s="133"/>
    </row>
    <row r="69" spans="1:48" s="181" customFormat="1" ht="12.75" hidden="1">
      <c r="A69" s="166"/>
      <c r="B69" s="167">
        <v>600</v>
      </c>
      <c r="C69" s="168">
        <f t="shared" si="44"/>
        <v>14.546875</v>
      </c>
      <c r="D69" s="169">
        <f t="shared" si="45"/>
        <v>8728.125</v>
      </c>
      <c r="E69" s="170">
        <f t="shared" si="33"/>
        <v>0.46511627906976744</v>
      </c>
      <c r="F69" s="168">
        <f t="shared" si="34"/>
        <v>279.06976744186045</v>
      </c>
      <c r="G69" s="171">
        <f t="shared" si="35"/>
        <v>0.005507901926202582</v>
      </c>
      <c r="H69" s="171">
        <f t="shared" si="36"/>
        <v>1.5370889096379297</v>
      </c>
      <c r="I69" s="172">
        <f t="shared" si="27"/>
        <v>2.9878618113912236</v>
      </c>
      <c r="J69" s="173">
        <f t="shared" si="46"/>
        <v>7</v>
      </c>
      <c r="K69" s="168">
        <f t="shared" si="37"/>
        <v>2.4609374999999996</v>
      </c>
      <c r="L69" s="174">
        <f t="shared" si="38"/>
        <v>-0.09873621323529409</v>
      </c>
      <c r="M69" s="168">
        <f t="shared" si="28"/>
        <v>3.2828719723183397</v>
      </c>
      <c r="N69" s="175">
        <f t="shared" si="29"/>
        <v>-0.43425605536332057</v>
      </c>
      <c r="O69" s="175">
        <f t="shared" si="47"/>
        <v>91.70581153196426</v>
      </c>
      <c r="P69" s="176">
        <f t="shared" si="30"/>
        <v>-1184.6642386669778</v>
      </c>
      <c r="Q69" s="176">
        <f t="shared" si="31"/>
        <v>-2000.7264165687882</v>
      </c>
      <c r="R69" s="177">
        <f t="shared" si="39"/>
        <v>2.13227931488801</v>
      </c>
      <c r="S69" s="178">
        <f t="shared" si="40"/>
        <v>0.18341162306392852</v>
      </c>
      <c r="T69" s="174">
        <f t="shared" si="41"/>
        <v>-6459.046699859695</v>
      </c>
      <c r="U69" s="237">
        <f t="shared" si="42"/>
        <v>-0.06584145463669414</v>
      </c>
      <c r="V69" s="237">
        <f t="shared" si="43"/>
        <v>0.515</v>
      </c>
      <c r="W69" s="180">
        <f t="shared" si="32"/>
        <v>-0.12784748473144492</v>
      </c>
      <c r="X69" s="133"/>
      <c r="Y69" s="133"/>
      <c r="Z69" s="133"/>
      <c r="AA69" s="133"/>
      <c r="AB69" s="133"/>
      <c r="AC69" s="133"/>
      <c r="AD69" s="133"/>
      <c r="AE69" s="133"/>
      <c r="AP69" s="133"/>
      <c r="AQ69" s="133"/>
      <c r="AR69" s="133"/>
      <c r="AS69" s="133"/>
      <c r="AT69" s="133"/>
      <c r="AU69" s="133"/>
      <c r="AV69" s="133"/>
    </row>
    <row r="70" spans="1:48" s="181" customFormat="1" ht="12.75" hidden="1">
      <c r="A70" s="166"/>
      <c r="B70" s="167">
        <v>700</v>
      </c>
      <c r="C70" s="168">
        <f t="shared" si="44"/>
        <v>14.546875</v>
      </c>
      <c r="D70" s="169">
        <f t="shared" si="45"/>
        <v>10182.8125</v>
      </c>
      <c r="E70" s="170">
        <f t="shared" si="33"/>
        <v>0.46511627906976744</v>
      </c>
      <c r="F70" s="168">
        <f t="shared" si="34"/>
        <v>325.5813953488372</v>
      </c>
      <c r="G70" s="171">
        <f t="shared" si="35"/>
        <v>0.005507901926202582</v>
      </c>
      <c r="H70" s="171">
        <f t="shared" si="36"/>
        <v>1.7932703945775845</v>
      </c>
      <c r="I70" s="172">
        <f t="shared" si="27"/>
        <v>3.4858387799564277</v>
      </c>
      <c r="J70" s="173">
        <f t="shared" si="46"/>
        <v>7</v>
      </c>
      <c r="K70" s="168">
        <f t="shared" si="37"/>
        <v>2.4609374999999996</v>
      </c>
      <c r="L70" s="174">
        <f t="shared" si="38"/>
        <v>-0.08648131127450977</v>
      </c>
      <c r="M70" s="168">
        <f t="shared" si="28"/>
        <v>3.7872986885385966</v>
      </c>
      <c r="N70" s="175">
        <f>2*M70-J70</f>
        <v>0.5745973770771933</v>
      </c>
      <c r="O70" s="175">
        <f t="shared" si="47"/>
        <v>91.70581153196426</v>
      </c>
      <c r="P70" s="176">
        <f>O70*((N70-J70)*(1852/3600))*((N70+J70)*(1852/3600))</f>
        <v>-1181.2279672483962</v>
      </c>
      <c r="Q70" s="176">
        <f>(P70*((N70+J70)*(1852/3600))/2)</f>
        <v>-2301.4511441746204</v>
      </c>
      <c r="R70" s="177">
        <f t="shared" si="39"/>
        <v>1.848283057574497</v>
      </c>
      <c r="S70" s="178">
        <f t="shared" si="40"/>
        <v>0.18341162306392852</v>
      </c>
      <c r="T70" s="174">
        <f t="shared" si="41"/>
        <v>-6440.311401838893</v>
      </c>
      <c r="U70" s="237">
        <f t="shared" si="42"/>
        <v>-0.0656504730054933</v>
      </c>
      <c r="V70" s="237">
        <f t="shared" si="43"/>
        <v>0.515</v>
      </c>
      <c r="W70" s="180">
        <f t="shared" si="32"/>
        <v>-0.12747664661260835</v>
      </c>
      <c r="X70" s="133"/>
      <c r="Y70" s="133"/>
      <c r="Z70" s="133"/>
      <c r="AA70" s="133"/>
      <c r="AB70" s="133"/>
      <c r="AC70" s="133"/>
      <c r="AD70" s="133"/>
      <c r="AE70" s="133"/>
      <c r="AP70" s="133"/>
      <c r="AQ70" s="133"/>
      <c r="AR70" s="133"/>
      <c r="AS70" s="133"/>
      <c r="AT70" s="133"/>
      <c r="AU70" s="133"/>
      <c r="AV70" s="133"/>
    </row>
    <row r="71" spans="2:48" s="181" customFormat="1" ht="12.75" hidden="1">
      <c r="B71" s="182">
        <v>800</v>
      </c>
      <c r="C71" s="168">
        <f t="shared" si="44"/>
        <v>14.546875</v>
      </c>
      <c r="D71" s="169">
        <f t="shared" si="45"/>
        <v>11637.5</v>
      </c>
      <c r="E71" s="170">
        <f t="shared" si="33"/>
        <v>0.46511627906976744</v>
      </c>
      <c r="F71" s="168">
        <f t="shared" si="34"/>
        <v>372.09302325581393</v>
      </c>
      <c r="G71" s="171">
        <f t="shared" si="35"/>
        <v>0.005507901926202582</v>
      </c>
      <c r="H71" s="171">
        <f t="shared" si="36"/>
        <v>2.0494518795172394</v>
      </c>
      <c r="I71" s="183">
        <f>H71*(3600/1852)</f>
        <v>3.9838157485216312</v>
      </c>
      <c r="J71" s="173">
        <f t="shared" si="46"/>
        <v>7</v>
      </c>
      <c r="K71" s="168">
        <f t="shared" si="37"/>
        <v>2.4609374999999996</v>
      </c>
      <c r="L71" s="174">
        <f t="shared" si="38"/>
        <v>-0.07422640931372547</v>
      </c>
      <c r="M71" s="184">
        <f t="shared" si="28"/>
        <v>4.279520086901863</v>
      </c>
      <c r="N71" s="175">
        <f aca="true" t="shared" si="48" ref="N71:N99">2*M71-J71</f>
        <v>1.5590401738037265</v>
      </c>
      <c r="O71" s="175">
        <f t="shared" si="47"/>
        <v>91.70581153196426</v>
      </c>
      <c r="P71" s="185">
        <f aca="true" t="shared" si="49" ref="P71:P99">O71*((N71-J71)*(1852/3600))*((N71+J71)*(1852/3600))</f>
        <v>-1130.2497136736533</v>
      </c>
      <c r="Q71" s="185">
        <f aca="true" t="shared" si="50" ref="Q71:Q99">(P71*((N71+J71)*(1852/3600))/2)</f>
        <v>-2488.3298904268054</v>
      </c>
      <c r="R71" s="180">
        <f aca="true" t="shared" si="51" ref="R71:R99">J71/M71</f>
        <v>1.6356974281823302</v>
      </c>
      <c r="S71" s="178">
        <f t="shared" si="40"/>
        <v>0.18341162306392852</v>
      </c>
      <c r="T71" s="174">
        <f t="shared" si="41"/>
        <v>-6162.366892526229</v>
      </c>
      <c r="U71" s="237">
        <f t="shared" si="42"/>
        <v>-0.06281719564246921</v>
      </c>
      <c r="V71" s="237">
        <f t="shared" si="43"/>
        <v>0.515</v>
      </c>
      <c r="W71" s="180">
        <f t="shared" si="32"/>
        <v>-0.12197513716984312</v>
      </c>
      <c r="X71" s="186">
        <f aca="true" t="shared" si="52" ref="X71:X76">IF(Q71&gt;D71,"Dépassement de la puisance disponible","")</f>
      </c>
      <c r="Y71" s="133"/>
      <c r="Z71" s="133"/>
      <c r="AA71" s="133"/>
      <c r="AB71" s="133"/>
      <c r="AC71" s="133"/>
      <c r="AD71" s="133"/>
      <c r="AE71" s="133"/>
      <c r="AP71" s="133"/>
      <c r="AQ71" s="133"/>
      <c r="AR71" s="133"/>
      <c r="AS71" s="133"/>
      <c r="AT71" s="133"/>
      <c r="AU71" s="133"/>
      <c r="AV71" s="133"/>
    </row>
    <row r="72" spans="2:48" s="181" customFormat="1" ht="12.75" hidden="1">
      <c r="B72" s="182">
        <v>900</v>
      </c>
      <c r="C72" s="168">
        <f t="shared" si="44"/>
        <v>14.546875</v>
      </c>
      <c r="D72" s="169">
        <f t="shared" si="45"/>
        <v>13092.1875</v>
      </c>
      <c r="E72" s="170">
        <f t="shared" si="33"/>
        <v>0.46511627906976744</v>
      </c>
      <c r="F72" s="168">
        <f t="shared" si="34"/>
        <v>418.6046511627907</v>
      </c>
      <c r="G72" s="171">
        <f t="shared" si="35"/>
        <v>0.005507901926202582</v>
      </c>
      <c r="H72" s="171">
        <f t="shared" si="36"/>
        <v>2.3056333644568947</v>
      </c>
      <c r="I72" s="183">
        <f aca="true" t="shared" si="53" ref="I72:I99">H72*(3600/1852)</f>
        <v>4.481792717086836</v>
      </c>
      <c r="J72" s="173">
        <f t="shared" si="46"/>
        <v>7</v>
      </c>
      <c r="K72" s="168">
        <f t="shared" si="37"/>
        <v>2.4609374999999996</v>
      </c>
      <c r="L72" s="174">
        <f t="shared" si="38"/>
        <v>-0.061971507352941144</v>
      </c>
      <c r="M72" s="184">
        <f t="shared" si="28"/>
        <v>4.759536167408141</v>
      </c>
      <c r="N72" s="175">
        <f t="shared" si="48"/>
        <v>2.5190723348162827</v>
      </c>
      <c r="O72" s="175">
        <f t="shared" si="47"/>
        <v>91.70581153196426</v>
      </c>
      <c r="P72" s="185">
        <f t="shared" si="49"/>
        <v>-1035.228886481469</v>
      </c>
      <c r="Q72" s="185">
        <f t="shared" si="50"/>
        <v>-2534.7754647635547</v>
      </c>
      <c r="R72" s="180">
        <f t="shared" si="51"/>
        <v>1.4707315489971218</v>
      </c>
      <c r="S72" s="178">
        <f t="shared" si="40"/>
        <v>0.18341162306392852</v>
      </c>
      <c r="T72" s="174">
        <f t="shared" si="41"/>
        <v>-5644.292707232833</v>
      </c>
      <c r="U72" s="237">
        <f t="shared" si="42"/>
        <v>-0.05753611322357628</v>
      </c>
      <c r="V72" s="237">
        <f t="shared" si="43"/>
        <v>0.515</v>
      </c>
      <c r="W72" s="180">
        <f t="shared" si="32"/>
        <v>-0.111720608201119</v>
      </c>
      <c r="X72" s="186">
        <f t="shared" si="52"/>
      </c>
      <c r="Y72" s="133"/>
      <c r="Z72" s="133"/>
      <c r="AA72" s="133"/>
      <c r="AB72" s="133"/>
      <c r="AC72" s="133"/>
      <c r="AD72" s="133"/>
      <c r="AE72" s="133"/>
      <c r="AP72" s="133"/>
      <c r="AQ72" s="133"/>
      <c r="AR72" s="133"/>
      <c r="AS72" s="133"/>
      <c r="AT72" s="133"/>
      <c r="AU72" s="133"/>
      <c r="AV72" s="133"/>
    </row>
    <row r="73" spans="2:48" s="181" customFormat="1" ht="13.5" hidden="1" thickBot="1">
      <c r="B73" s="182">
        <v>1000</v>
      </c>
      <c r="C73" s="168">
        <f t="shared" si="44"/>
        <v>14.546875</v>
      </c>
      <c r="D73" s="169">
        <f t="shared" si="45"/>
        <v>14546.875</v>
      </c>
      <c r="E73" s="170">
        <f t="shared" si="33"/>
        <v>0.46511627906976744</v>
      </c>
      <c r="F73" s="168">
        <f t="shared" si="34"/>
        <v>465.1162790697674</v>
      </c>
      <c r="G73" s="171">
        <f t="shared" si="35"/>
        <v>0.005507901926202582</v>
      </c>
      <c r="H73" s="171">
        <f t="shared" si="36"/>
        <v>2.5618148493965496</v>
      </c>
      <c r="I73" s="183">
        <f t="shared" si="53"/>
        <v>4.97976968565204</v>
      </c>
      <c r="J73" s="173">
        <f t="shared" si="46"/>
        <v>7</v>
      </c>
      <c r="K73" s="168">
        <f t="shared" si="37"/>
        <v>2.4609374999999996</v>
      </c>
      <c r="L73" s="174">
        <f t="shared" si="38"/>
        <v>-0.04971660539215682</v>
      </c>
      <c r="M73" s="184">
        <f t="shared" si="28"/>
        <v>5.2273469300574265</v>
      </c>
      <c r="N73" s="175">
        <f t="shared" si="48"/>
        <v>3.454693860114853</v>
      </c>
      <c r="O73" s="175">
        <f t="shared" si="47"/>
        <v>91.70581153196426</v>
      </c>
      <c r="P73" s="185">
        <f t="shared" si="49"/>
        <v>-899.5781214825438</v>
      </c>
      <c r="Q73" s="185">
        <f t="shared" si="50"/>
        <v>-2419.127121519103</v>
      </c>
      <c r="R73" s="180">
        <f t="shared" si="51"/>
        <v>1.3391114256736543</v>
      </c>
      <c r="S73" s="178">
        <f t="shared" si="40"/>
        <v>0.18341162306392852</v>
      </c>
      <c r="T73" s="174">
        <f t="shared" si="41"/>
        <v>-4904.69527751245</v>
      </c>
      <c r="U73" s="237">
        <f t="shared" si="42"/>
        <v>-0.04999689375649796</v>
      </c>
      <c r="V73" s="237">
        <f t="shared" si="43"/>
        <v>0.515</v>
      </c>
      <c r="W73" s="180">
        <f t="shared" si="32"/>
        <v>-0.09708134709999604</v>
      </c>
      <c r="X73" s="186">
        <f t="shared" si="52"/>
      </c>
      <c r="Y73" s="133"/>
      <c r="Z73" s="133"/>
      <c r="AA73" s="133"/>
      <c r="AB73" s="133"/>
      <c r="AC73" s="133"/>
      <c r="AD73" s="133"/>
      <c r="AE73" s="133"/>
      <c r="AP73" s="133"/>
      <c r="AQ73" s="133"/>
      <c r="AR73" s="133"/>
      <c r="AS73" s="133"/>
      <c r="AT73" s="133"/>
      <c r="AU73" s="133"/>
      <c r="AV73" s="133"/>
    </row>
    <row r="74" spans="2:48" s="181" customFormat="1" ht="12.75">
      <c r="B74" s="238">
        <v>1100</v>
      </c>
      <c r="C74" s="239">
        <f t="shared" si="44"/>
        <v>14.546875</v>
      </c>
      <c r="D74" s="240">
        <f>C107*D107</f>
        <v>15041.46875</v>
      </c>
      <c r="E74" s="241">
        <f t="shared" si="33"/>
        <v>0.46511627906976744</v>
      </c>
      <c r="F74" s="239">
        <f t="shared" si="34"/>
        <v>511.62790697674416</v>
      </c>
      <c r="G74" s="242">
        <f t="shared" si="35"/>
        <v>0.005507901926202582</v>
      </c>
      <c r="H74" s="242">
        <f t="shared" si="36"/>
        <v>2.8179963343362044</v>
      </c>
      <c r="I74" s="243">
        <f t="shared" si="53"/>
        <v>5.477746654217244</v>
      </c>
      <c r="J74" s="173">
        <f t="shared" si="46"/>
        <v>7</v>
      </c>
      <c r="K74" s="168">
        <f t="shared" si="37"/>
        <v>2.4609374999999996</v>
      </c>
      <c r="L74" s="174">
        <f t="shared" si="38"/>
        <v>-0.03746170343137251</v>
      </c>
      <c r="M74" s="184">
        <f t="shared" si="28"/>
        <v>5.682952374849722</v>
      </c>
      <c r="N74" s="175">
        <f t="shared" si="48"/>
        <v>4.365904749699444</v>
      </c>
      <c r="O74" s="175">
        <f t="shared" si="47"/>
        <v>91.70581153196426</v>
      </c>
      <c r="P74" s="185">
        <f t="shared" si="49"/>
        <v>-726.6232817595545</v>
      </c>
      <c r="Q74" s="185">
        <f t="shared" si="50"/>
        <v>-2124.3291429716746</v>
      </c>
      <c r="R74" s="180">
        <f t="shared" si="51"/>
        <v>1.2317541197387045</v>
      </c>
      <c r="S74" s="178">
        <f t="shared" si="40"/>
        <v>0.18341162306392852</v>
      </c>
      <c r="T74" s="174">
        <f t="shared" si="41"/>
        <v>-3961.70793116142</v>
      </c>
      <c r="U74" s="237">
        <f t="shared" si="42"/>
        <v>-0.040384382580646486</v>
      </c>
      <c r="V74" s="237">
        <f t="shared" si="43"/>
        <v>0.515</v>
      </c>
      <c r="W74" s="180">
        <f t="shared" si="32"/>
        <v>-0.07841627685562425</v>
      </c>
      <c r="X74" s="186">
        <f t="shared" si="52"/>
      </c>
      <c r="Y74" s="133"/>
      <c r="Z74" s="133"/>
      <c r="AA74" s="133"/>
      <c r="AB74" s="133"/>
      <c r="AC74" s="133"/>
      <c r="AD74" s="133"/>
      <c r="AE74" s="133"/>
      <c r="AP74" s="133"/>
      <c r="AQ74" s="133"/>
      <c r="AR74" s="133"/>
      <c r="AS74" s="133"/>
      <c r="AT74" s="133"/>
      <c r="AU74" s="133"/>
      <c r="AV74" s="133"/>
    </row>
    <row r="75" spans="2:48" s="181" customFormat="1" ht="12.75">
      <c r="B75" s="182">
        <v>1200</v>
      </c>
      <c r="C75" s="168">
        <f t="shared" si="44"/>
        <v>14.546875</v>
      </c>
      <c r="D75" s="244">
        <f>C108*D108</f>
        <v>16408.875</v>
      </c>
      <c r="E75" s="170">
        <f t="shared" si="33"/>
        <v>0.46511627906976744</v>
      </c>
      <c r="F75" s="168">
        <f t="shared" si="34"/>
        <v>558.1395348837209</v>
      </c>
      <c r="G75" s="171">
        <f t="shared" si="35"/>
        <v>0.005507901926202582</v>
      </c>
      <c r="H75" s="171">
        <f t="shared" si="36"/>
        <v>3.0741778192758593</v>
      </c>
      <c r="I75" s="183">
        <f t="shared" si="53"/>
        <v>5.975723622782447</v>
      </c>
      <c r="J75" s="173">
        <f t="shared" si="46"/>
        <v>7</v>
      </c>
      <c r="K75" s="168">
        <f t="shared" si="37"/>
        <v>2.4609374999999996</v>
      </c>
      <c r="L75" s="174">
        <f t="shared" si="38"/>
        <v>-0.025206801470588208</v>
      </c>
      <c r="M75" s="184">
        <f t="shared" si="28"/>
        <v>6.126352501785029</v>
      </c>
      <c r="N75" s="175">
        <f t="shared" si="48"/>
        <v>5.252705003570059</v>
      </c>
      <c r="O75" s="175">
        <f t="shared" si="47"/>
        <v>91.70581153196426</v>
      </c>
      <c r="P75" s="185">
        <f t="shared" si="49"/>
        <v>-519.6034576671565</v>
      </c>
      <c r="Q75" s="185">
        <f t="shared" si="50"/>
        <v>-1637.6175950261115</v>
      </c>
      <c r="R75" s="180">
        <f t="shared" si="51"/>
        <v>1.1426048367214288</v>
      </c>
      <c r="S75" s="178">
        <f t="shared" si="40"/>
        <v>0.18341162306392852</v>
      </c>
      <c r="T75" s="174">
        <f t="shared" si="41"/>
        <v>-2832.9908922186873</v>
      </c>
      <c r="U75" s="237">
        <f t="shared" si="42"/>
        <v>-0.02887860236716297</v>
      </c>
      <c r="V75" s="237">
        <f t="shared" si="43"/>
        <v>0.515</v>
      </c>
      <c r="W75" s="180">
        <f t="shared" si="32"/>
        <v>-0.05607495605274363</v>
      </c>
      <c r="X75" s="186">
        <f t="shared" si="52"/>
      </c>
      <c r="Y75" s="133"/>
      <c r="Z75" s="133"/>
      <c r="AA75" s="133"/>
      <c r="AB75" s="133"/>
      <c r="AC75" s="133"/>
      <c r="AD75" s="133"/>
      <c r="AE75" s="133"/>
      <c r="AP75" s="133"/>
      <c r="AQ75" s="133"/>
      <c r="AR75" s="133"/>
      <c r="AS75" s="133"/>
      <c r="AT75" s="133"/>
      <c r="AU75" s="133"/>
      <c r="AV75" s="133"/>
    </row>
    <row r="76" spans="2:48" s="181" customFormat="1" ht="12.75">
      <c r="B76" s="182">
        <v>1300</v>
      </c>
      <c r="C76" s="168">
        <f t="shared" si="44"/>
        <v>14.546875</v>
      </c>
      <c r="D76" s="244">
        <f>C109*D109</f>
        <v>17776.28125</v>
      </c>
      <c r="E76" s="170">
        <f t="shared" si="33"/>
        <v>0.46511627906976744</v>
      </c>
      <c r="F76" s="168">
        <f t="shared" si="34"/>
        <v>604.6511627906976</v>
      </c>
      <c r="G76" s="171">
        <f t="shared" si="35"/>
        <v>0.005507901926202582</v>
      </c>
      <c r="H76" s="171">
        <f t="shared" si="36"/>
        <v>3.330359304215514</v>
      </c>
      <c r="I76" s="183">
        <f t="shared" si="53"/>
        <v>6.473700591347652</v>
      </c>
      <c r="J76" s="173">
        <f t="shared" si="46"/>
        <v>7</v>
      </c>
      <c r="K76" s="168">
        <f t="shared" si="37"/>
        <v>2.4609374999999996</v>
      </c>
      <c r="L76" s="174">
        <f t="shared" si="38"/>
        <v>-0.01295189950980388</v>
      </c>
      <c r="M76" s="184">
        <f t="shared" si="28"/>
        <v>6.557547310863344</v>
      </c>
      <c r="N76" s="175">
        <f t="shared" si="48"/>
        <v>6.115094621726689</v>
      </c>
      <c r="O76" s="175">
        <f t="shared" si="47"/>
        <v>91.70581153196426</v>
      </c>
      <c r="P76" s="185">
        <f t="shared" si="49"/>
        <v>-281.6709668319862</v>
      </c>
      <c r="Q76" s="185">
        <f t="shared" si="50"/>
        <v>-950.2152555312024</v>
      </c>
      <c r="R76" s="180">
        <f t="shared" si="51"/>
        <v>1.067472283181805</v>
      </c>
      <c r="S76" s="178">
        <f t="shared" si="40"/>
        <v>0.18341162306392852</v>
      </c>
      <c r="T76" s="174">
        <f t="shared" si="41"/>
        <v>-1535.7312809658154</v>
      </c>
      <c r="U76" s="237">
        <f t="shared" si="42"/>
        <v>-0.015654753118917588</v>
      </c>
      <c r="V76" s="237">
        <f t="shared" si="43"/>
        <v>0.515</v>
      </c>
      <c r="W76" s="180">
        <f t="shared" si="32"/>
        <v>-0.030397578871684636</v>
      </c>
      <c r="X76" s="186">
        <f t="shared" si="52"/>
      </c>
      <c r="Y76" s="133"/>
      <c r="Z76" s="133"/>
      <c r="AA76" s="133"/>
      <c r="AB76" s="133"/>
      <c r="AC76" s="133"/>
      <c r="AD76" s="133"/>
      <c r="AE76" s="133"/>
      <c r="AP76" s="133"/>
      <c r="AQ76" s="133"/>
      <c r="AR76" s="133"/>
      <c r="AS76" s="133"/>
      <c r="AT76" s="133"/>
      <c r="AU76" s="133"/>
      <c r="AV76" s="133"/>
    </row>
    <row r="77" spans="2:48" s="181" customFormat="1" ht="12.75">
      <c r="B77" s="182">
        <v>1400</v>
      </c>
      <c r="C77" s="168">
        <f t="shared" si="44"/>
        <v>14.546875</v>
      </c>
      <c r="D77" s="244">
        <f aca="true" t="shared" si="54" ref="D77:D99">C110*D110</f>
        <v>19143.6875</v>
      </c>
      <c r="E77" s="170">
        <f t="shared" si="33"/>
        <v>0.46511627906976744</v>
      </c>
      <c r="F77" s="168">
        <f t="shared" si="34"/>
        <v>651.1627906976744</v>
      </c>
      <c r="G77" s="171">
        <f t="shared" si="35"/>
        <v>0.005507901926202582</v>
      </c>
      <c r="H77" s="171">
        <f t="shared" si="36"/>
        <v>3.586540789155169</v>
      </c>
      <c r="I77" s="183">
        <f t="shared" si="53"/>
        <v>6.971677559912855</v>
      </c>
      <c r="J77" s="173">
        <f t="shared" si="46"/>
        <v>7</v>
      </c>
      <c r="K77" s="168">
        <f t="shared" si="37"/>
        <v>2.4609374999999996</v>
      </c>
      <c r="L77" s="174">
        <f t="shared" si="38"/>
        <v>-0.0006969975490195761</v>
      </c>
      <c r="M77" s="187">
        <f t="shared" si="28"/>
        <v>6.97653680208467</v>
      </c>
      <c r="N77" s="175">
        <f t="shared" si="48"/>
        <v>6.95307360416934</v>
      </c>
      <c r="O77" s="175">
        <f t="shared" si="47"/>
        <v>91.70581153196426</v>
      </c>
      <c r="P77" s="185">
        <f t="shared" si="49"/>
        <v>-15.891354152655206</v>
      </c>
      <c r="Q77" s="185">
        <f t="shared" si="50"/>
        <v>-57.03471523164947</v>
      </c>
      <c r="R77" s="180">
        <f t="shared" si="51"/>
        <v>1.0033631583378617</v>
      </c>
      <c r="S77" s="178">
        <f t="shared" si="40"/>
        <v>0.18341162306392852</v>
      </c>
      <c r="T77" s="174">
        <f t="shared" si="41"/>
        <v>-86.64311392695238</v>
      </c>
      <c r="U77" s="237">
        <f t="shared" si="42"/>
        <v>-0.0008832121705091985</v>
      </c>
      <c r="V77" s="237">
        <f t="shared" si="43"/>
        <v>0.515</v>
      </c>
      <c r="W77" s="245">
        <f aca="true" t="shared" si="55" ref="W77:W99">IF(U77/V77&lt;1,U77/V77,"Cavitation ?")</f>
        <v>-0.0017149750883673758</v>
      </c>
      <c r="X77" s="246">
        <f aca="true" t="shared" si="56" ref="X77:X99">IF(Q77&gt;D77,"P &gt; puissance disponible","")</f>
      </c>
      <c r="Y77" s="133"/>
      <c r="Z77" s="133"/>
      <c r="AA77" s="133"/>
      <c r="AB77" s="133"/>
      <c r="AC77" s="133"/>
      <c r="AD77" s="133"/>
      <c r="AE77" s="133"/>
      <c r="AP77" s="133"/>
      <c r="AQ77" s="133"/>
      <c r="AR77" s="133"/>
      <c r="AS77" s="133"/>
      <c r="AT77" s="133"/>
      <c r="AU77" s="133"/>
      <c r="AV77" s="133"/>
    </row>
    <row r="78" spans="2:48" s="181" customFormat="1" ht="12.75">
      <c r="B78" s="182">
        <v>1500</v>
      </c>
      <c r="C78" s="168">
        <f t="shared" si="44"/>
        <v>14.546875</v>
      </c>
      <c r="D78" s="244">
        <f t="shared" si="54"/>
        <v>20511.09375</v>
      </c>
      <c r="E78" s="170">
        <f t="shared" si="33"/>
        <v>0.46511627906976744</v>
      </c>
      <c r="F78" s="168">
        <f t="shared" si="34"/>
        <v>697.6744186046511</v>
      </c>
      <c r="G78" s="171">
        <f t="shared" si="35"/>
        <v>0.005507901926202582</v>
      </c>
      <c r="H78" s="171">
        <f t="shared" si="36"/>
        <v>3.8427222740948244</v>
      </c>
      <c r="I78" s="183">
        <f t="shared" si="53"/>
        <v>7.46965452847806</v>
      </c>
      <c r="J78" s="173">
        <f t="shared" si="46"/>
        <v>7</v>
      </c>
      <c r="K78" s="168">
        <f t="shared" si="37"/>
        <v>2.4609374999999996</v>
      </c>
      <c r="L78" s="174">
        <f t="shared" si="38"/>
        <v>0.01155790441176475</v>
      </c>
      <c r="M78" s="187">
        <f t="shared" si="28"/>
        <v>7.383320975449005</v>
      </c>
      <c r="N78" s="175">
        <f t="shared" si="48"/>
        <v>7.766641950898009</v>
      </c>
      <c r="O78" s="175">
        <f t="shared" si="47"/>
        <v>91.70581153196426</v>
      </c>
      <c r="P78" s="185">
        <f t="shared" si="49"/>
        <v>274.7566082002437</v>
      </c>
      <c r="Q78" s="185">
        <f t="shared" si="50"/>
        <v>1043.6103486452473</v>
      </c>
      <c r="R78" s="180">
        <f t="shared" si="51"/>
        <v>0.9480828509658971</v>
      </c>
      <c r="S78" s="178">
        <f t="shared" si="40"/>
        <v>0.18341162306392852</v>
      </c>
      <c r="T78" s="174">
        <f t="shared" si="41"/>
        <v>1498.0326961311316</v>
      </c>
      <c r="U78" s="237">
        <f t="shared" si="42"/>
        <v>0.015270465811734267</v>
      </c>
      <c r="V78" s="237">
        <f t="shared" si="43"/>
        <v>0.515</v>
      </c>
      <c r="W78" s="245">
        <f t="shared" si="55"/>
        <v>0.029651389925697606</v>
      </c>
      <c r="X78" s="246">
        <f t="shared" si="56"/>
      </c>
      <c r="Y78" s="133"/>
      <c r="Z78" s="133"/>
      <c r="AA78" s="133"/>
      <c r="AB78" s="133"/>
      <c r="AC78" s="133"/>
      <c r="AD78" s="133"/>
      <c r="AE78" s="133"/>
      <c r="AP78" s="133"/>
      <c r="AQ78" s="133"/>
      <c r="AR78" s="133"/>
      <c r="AS78" s="133"/>
      <c r="AT78" s="133"/>
      <c r="AU78" s="133"/>
      <c r="AV78" s="133"/>
    </row>
    <row r="79" spans="1:48" s="181" customFormat="1" ht="12.75">
      <c r="A79" s="189" t="s">
        <v>24</v>
      </c>
      <c r="B79" s="182">
        <v>1600</v>
      </c>
      <c r="C79" s="168">
        <f t="shared" si="44"/>
        <v>14.546875</v>
      </c>
      <c r="D79" s="244">
        <f t="shared" si="54"/>
        <v>21878.5</v>
      </c>
      <c r="E79" s="170">
        <f t="shared" si="33"/>
        <v>0.46511627906976744</v>
      </c>
      <c r="F79" s="168">
        <f t="shared" si="34"/>
        <v>744.1860465116279</v>
      </c>
      <c r="G79" s="171">
        <f t="shared" si="35"/>
        <v>0.005507901926202582</v>
      </c>
      <c r="H79" s="171">
        <f t="shared" si="36"/>
        <v>4.098903759034479</v>
      </c>
      <c r="I79" s="183">
        <f t="shared" si="53"/>
        <v>7.9676314970432625</v>
      </c>
      <c r="J79" s="173">
        <f t="shared" si="46"/>
        <v>7</v>
      </c>
      <c r="K79" s="168">
        <f t="shared" si="37"/>
        <v>2.4609374999999996</v>
      </c>
      <c r="L79" s="174">
        <f t="shared" si="38"/>
        <v>0.023812806372549032</v>
      </c>
      <c r="M79" s="184">
        <f t="shared" si="28"/>
        <v>7.77789983095635</v>
      </c>
      <c r="N79" s="175">
        <f t="shared" si="48"/>
        <v>8.5557996619127</v>
      </c>
      <c r="O79" s="175">
        <f t="shared" si="47"/>
        <v>91.70581153196426</v>
      </c>
      <c r="P79" s="185">
        <f t="shared" si="49"/>
        <v>587.3809207841417</v>
      </c>
      <c r="Q79" s="185">
        <f t="shared" si="50"/>
        <v>2350.285726168271</v>
      </c>
      <c r="R79" s="180">
        <f t="shared" si="51"/>
        <v>0.8999858769252495</v>
      </c>
      <c r="S79" s="178">
        <f t="shared" si="40"/>
        <v>0.18341162306392852</v>
      </c>
      <c r="T79" s="174">
        <f t="shared" si="41"/>
        <v>3202.528340199077</v>
      </c>
      <c r="U79" s="237">
        <f t="shared" si="42"/>
        <v>0.032645548829756135</v>
      </c>
      <c r="V79" s="237">
        <f t="shared" si="43"/>
        <v>0.515</v>
      </c>
      <c r="W79" s="245">
        <f t="shared" si="55"/>
        <v>0.06338941520340997</v>
      </c>
      <c r="X79" s="246">
        <f t="shared" si="56"/>
      </c>
      <c r="Y79" s="133"/>
      <c r="Z79" s="133"/>
      <c r="AA79" s="133"/>
      <c r="AB79" s="133"/>
      <c r="AC79" s="133"/>
      <c r="AD79" s="133"/>
      <c r="AE79" s="133"/>
      <c r="AP79" s="133"/>
      <c r="AQ79" s="133"/>
      <c r="AR79" s="133"/>
      <c r="AS79" s="133"/>
      <c r="AT79" s="133"/>
      <c r="AU79" s="133"/>
      <c r="AV79" s="133"/>
    </row>
    <row r="80" spans="1:48" s="181" customFormat="1" ht="12.75">
      <c r="A80" s="189" t="s">
        <v>26</v>
      </c>
      <c r="B80" s="182">
        <v>1700</v>
      </c>
      <c r="C80" s="168">
        <f t="shared" si="44"/>
        <v>14.546875</v>
      </c>
      <c r="D80" s="244">
        <f t="shared" si="54"/>
        <v>23245.90625</v>
      </c>
      <c r="E80" s="170">
        <f t="shared" si="33"/>
        <v>0.46511627906976744</v>
      </c>
      <c r="F80" s="168">
        <f t="shared" si="34"/>
        <v>790.6976744186046</v>
      </c>
      <c r="G80" s="171">
        <f t="shared" si="35"/>
        <v>0.005507901926202582</v>
      </c>
      <c r="H80" s="171">
        <f t="shared" si="36"/>
        <v>4.355085243974134</v>
      </c>
      <c r="I80" s="183">
        <f t="shared" si="53"/>
        <v>8.465608465608467</v>
      </c>
      <c r="J80" s="173">
        <f t="shared" si="46"/>
        <v>7</v>
      </c>
      <c r="K80" s="168">
        <f t="shared" si="37"/>
        <v>2.4609374999999996</v>
      </c>
      <c r="L80" s="174">
        <f t="shared" si="38"/>
        <v>0.03606770833333336</v>
      </c>
      <c r="M80" s="184">
        <f t="shared" si="28"/>
        <v>8.160273368606703</v>
      </c>
      <c r="N80" s="175">
        <f t="shared" si="48"/>
        <v>9.320546737213405</v>
      </c>
      <c r="O80" s="175">
        <f t="shared" si="47"/>
        <v>91.70581153196426</v>
      </c>
      <c r="P80" s="185">
        <f t="shared" si="49"/>
        <v>919.1763568844882</v>
      </c>
      <c r="Q80" s="185">
        <f t="shared" si="50"/>
        <v>3858.7090558462505</v>
      </c>
      <c r="R80" s="180">
        <f t="shared" si="51"/>
        <v>0.8578143995677427</v>
      </c>
      <c r="S80" s="178">
        <f t="shared" si="40"/>
        <v>0.18341162306392852</v>
      </c>
      <c r="T80" s="174">
        <f t="shared" si="41"/>
        <v>5011.549113024899</v>
      </c>
      <c r="U80" s="237">
        <f t="shared" si="42"/>
        <v>0.051086127553770636</v>
      </c>
      <c r="V80" s="237">
        <f t="shared" si="43"/>
        <v>0.515</v>
      </c>
      <c r="W80" s="245">
        <f t="shared" si="55"/>
        <v>0.0991963641820789</v>
      </c>
      <c r="X80" s="246">
        <f t="shared" si="56"/>
      </c>
      <c r="Y80" s="133"/>
      <c r="Z80" s="133"/>
      <c r="AA80" s="133"/>
      <c r="AB80" s="133"/>
      <c r="AC80" s="133"/>
      <c r="AD80" s="133"/>
      <c r="AE80" s="133"/>
      <c r="AP80" s="133"/>
      <c r="AQ80" s="133"/>
      <c r="AR80" s="133"/>
      <c r="AS80" s="133"/>
      <c r="AT80" s="133"/>
      <c r="AU80" s="133"/>
      <c r="AV80" s="133"/>
    </row>
    <row r="81" spans="1:48" s="181" customFormat="1" ht="12.75">
      <c r="A81" s="189" t="s">
        <v>25</v>
      </c>
      <c r="B81" s="182">
        <v>1800</v>
      </c>
      <c r="C81" s="168">
        <f t="shared" si="44"/>
        <v>14.546875</v>
      </c>
      <c r="D81" s="244">
        <f t="shared" si="54"/>
        <v>24613.3125</v>
      </c>
      <c r="E81" s="170">
        <f t="shared" si="33"/>
        <v>0.46511627906976744</v>
      </c>
      <c r="F81" s="168">
        <f t="shared" si="34"/>
        <v>837.2093023255813</v>
      </c>
      <c r="G81" s="171">
        <f t="shared" si="35"/>
        <v>0.005507901926202582</v>
      </c>
      <c r="H81" s="171">
        <f t="shared" si="36"/>
        <v>4.611266728913789</v>
      </c>
      <c r="I81" s="190">
        <f t="shared" si="53"/>
        <v>8.963585434173671</v>
      </c>
      <c r="J81" s="173">
        <f t="shared" si="46"/>
        <v>7</v>
      </c>
      <c r="K81" s="168">
        <f t="shared" si="37"/>
        <v>2.4609374999999996</v>
      </c>
      <c r="L81" s="174">
        <f t="shared" si="38"/>
        <v>0.04832261029411769</v>
      </c>
      <c r="M81" s="184">
        <f t="shared" si="28"/>
        <v>8.530441588400068</v>
      </c>
      <c r="N81" s="175">
        <f t="shared" si="48"/>
        <v>10.060883176800136</v>
      </c>
      <c r="O81" s="175">
        <f t="shared" si="47"/>
        <v>91.70581153196426</v>
      </c>
      <c r="P81" s="185">
        <f t="shared" si="49"/>
        <v>1267.42446251476</v>
      </c>
      <c r="Q81" s="185">
        <f t="shared" si="50"/>
        <v>5562.014033137412</v>
      </c>
      <c r="R81" s="180">
        <f t="shared" si="51"/>
        <v>0.820590578747857</v>
      </c>
      <c r="S81" s="178">
        <f t="shared" si="40"/>
        <v>0.18341162306392852</v>
      </c>
      <c r="T81" s="174">
        <f t="shared" si="41"/>
        <v>6910.273413114045</v>
      </c>
      <c r="U81" s="237">
        <f t="shared" si="42"/>
        <v>0.07044111532226345</v>
      </c>
      <c r="V81" s="237">
        <f t="shared" si="43"/>
        <v>0.515</v>
      </c>
      <c r="W81" s="245">
        <f t="shared" si="55"/>
        <v>0.13677886470342418</v>
      </c>
      <c r="X81" s="246">
        <f t="shared" si="56"/>
      </c>
      <c r="Y81" s="133"/>
      <c r="Z81" s="133"/>
      <c r="AA81" s="133"/>
      <c r="AB81" s="133"/>
      <c r="AC81" s="133"/>
      <c r="AD81" s="133"/>
      <c r="AE81" s="133"/>
      <c r="AP81" s="133"/>
      <c r="AQ81" s="133"/>
      <c r="AR81" s="133"/>
      <c r="AS81" s="133"/>
      <c r="AT81" s="133"/>
      <c r="AU81" s="133"/>
      <c r="AV81" s="133"/>
    </row>
    <row r="82" spans="1:48" s="181" customFormat="1" ht="12.75">
      <c r="A82" s="83"/>
      <c r="B82" s="182">
        <v>1900</v>
      </c>
      <c r="C82" s="168">
        <f t="shared" si="44"/>
        <v>14.546875</v>
      </c>
      <c r="D82" s="244">
        <f t="shared" si="54"/>
        <v>25980.71875</v>
      </c>
      <c r="E82" s="170">
        <f t="shared" si="33"/>
        <v>0.46511627906976744</v>
      </c>
      <c r="F82" s="168">
        <f t="shared" si="34"/>
        <v>883.7209302325581</v>
      </c>
      <c r="G82" s="171">
        <f t="shared" si="35"/>
        <v>0.005507901926202582</v>
      </c>
      <c r="H82" s="171">
        <f t="shared" si="36"/>
        <v>4.867448213853444</v>
      </c>
      <c r="I82" s="190">
        <f t="shared" si="53"/>
        <v>9.461562402738876</v>
      </c>
      <c r="J82" s="173">
        <f t="shared" si="46"/>
        <v>7</v>
      </c>
      <c r="K82" s="168">
        <f t="shared" si="37"/>
        <v>2.4609374999999996</v>
      </c>
      <c r="L82" s="174">
        <f t="shared" si="38"/>
        <v>0.060577512254902016</v>
      </c>
      <c r="M82" s="184">
        <f t="shared" si="28"/>
        <v>8.88840449033644</v>
      </c>
      <c r="N82" s="175">
        <f t="shared" si="48"/>
        <v>10.776808980672879</v>
      </c>
      <c r="O82" s="175">
        <f t="shared" si="47"/>
        <v>91.70581153196426</v>
      </c>
      <c r="P82" s="185">
        <f t="shared" si="49"/>
        <v>1629.4935564164462</v>
      </c>
      <c r="Q82" s="185">
        <f t="shared" si="50"/>
        <v>7451.006446323941</v>
      </c>
      <c r="R82" s="180">
        <f t="shared" si="51"/>
        <v>0.7875429170230123</v>
      </c>
      <c r="S82" s="178">
        <f t="shared" si="40"/>
        <v>0.18341162306392852</v>
      </c>
      <c r="T82" s="174">
        <f t="shared" si="41"/>
        <v>8884.352742729301</v>
      </c>
      <c r="U82" s="237">
        <f>T82/(9.81*10000)</f>
        <v>0.09056424814199084</v>
      </c>
      <c r="V82" s="237">
        <f t="shared" si="43"/>
        <v>0.515</v>
      </c>
      <c r="W82" s="245">
        <f t="shared" si="55"/>
        <v>0.17585290901357442</v>
      </c>
      <c r="X82" s="246">
        <f t="shared" si="56"/>
      </c>
      <c r="Y82" s="133"/>
      <c r="Z82" s="133"/>
      <c r="AA82" s="133"/>
      <c r="AB82" s="133"/>
      <c r="AC82" s="133"/>
      <c r="AD82" s="133"/>
      <c r="AE82" s="133"/>
      <c r="AP82" s="133"/>
      <c r="AQ82" s="133"/>
      <c r="AR82" s="133"/>
      <c r="AS82" s="133"/>
      <c r="AT82" s="133"/>
      <c r="AU82" s="133"/>
      <c r="AV82" s="133"/>
    </row>
    <row r="83" spans="1:48" s="181" customFormat="1" ht="12.75">
      <c r="A83" s="83"/>
      <c r="B83" s="191">
        <v>2000</v>
      </c>
      <c r="C83" s="168">
        <f t="shared" si="44"/>
        <v>14.546875</v>
      </c>
      <c r="D83" s="244">
        <f t="shared" si="54"/>
        <v>27348.125</v>
      </c>
      <c r="E83" s="170">
        <f t="shared" si="33"/>
        <v>0.46511627906976744</v>
      </c>
      <c r="F83" s="168">
        <f t="shared" si="34"/>
        <v>930.2325581395348</v>
      </c>
      <c r="G83" s="171">
        <f t="shared" si="35"/>
        <v>0.005507901926202582</v>
      </c>
      <c r="H83" s="171">
        <f t="shared" si="36"/>
        <v>5.123629698793099</v>
      </c>
      <c r="I83" s="190">
        <f t="shared" si="53"/>
        <v>9.95953937130408</v>
      </c>
      <c r="J83" s="173">
        <f t="shared" si="46"/>
        <v>7</v>
      </c>
      <c r="K83" s="168">
        <f t="shared" si="37"/>
        <v>2.4609374999999996</v>
      </c>
      <c r="L83" s="174">
        <f t="shared" si="38"/>
        <v>0.07283241421568634</v>
      </c>
      <c r="M83" s="192">
        <f t="shared" si="28"/>
        <v>9.234162074415824</v>
      </c>
      <c r="N83" s="175">
        <f t="shared" si="48"/>
        <v>11.468324148831648</v>
      </c>
      <c r="O83" s="175">
        <f t="shared" si="47"/>
        <v>91.70581153196426</v>
      </c>
      <c r="P83" s="185">
        <f t="shared" si="49"/>
        <v>2002.8387300590696</v>
      </c>
      <c r="Q83" s="185">
        <f t="shared" si="50"/>
        <v>9514.412039752056</v>
      </c>
      <c r="R83" s="180">
        <f t="shared" si="51"/>
        <v>0.7580547042155784</v>
      </c>
      <c r="S83" s="178">
        <f t="shared" si="40"/>
        <v>0.18341162306392852</v>
      </c>
      <c r="T83" s="174">
        <f t="shared" si="41"/>
        <v>10919.91170789092</v>
      </c>
      <c r="U83" s="237">
        <f t="shared" si="42"/>
        <v>0.11131408468798083</v>
      </c>
      <c r="V83" s="237">
        <f t="shared" si="43"/>
        <v>0.515</v>
      </c>
      <c r="W83" s="245">
        <f t="shared" si="55"/>
        <v>0.21614385376306958</v>
      </c>
      <c r="X83" s="246">
        <f t="shared" si="56"/>
      </c>
      <c r="Y83" s="133"/>
      <c r="Z83" s="133"/>
      <c r="AA83" s="133"/>
      <c r="AB83" s="133"/>
      <c r="AC83" s="133"/>
      <c r="AD83" s="133"/>
      <c r="AE83" s="133"/>
      <c r="AP83" s="133"/>
      <c r="AQ83" s="133"/>
      <c r="AR83" s="133"/>
      <c r="AS83" s="133"/>
      <c r="AT83" s="133"/>
      <c r="AU83" s="133"/>
      <c r="AV83" s="133"/>
    </row>
    <row r="84" spans="1:48" s="181" customFormat="1" ht="12.75">
      <c r="A84" s="189"/>
      <c r="B84" s="191">
        <v>2100</v>
      </c>
      <c r="C84" s="168">
        <f t="shared" si="44"/>
        <v>14.546875</v>
      </c>
      <c r="D84" s="244">
        <f t="shared" si="54"/>
        <v>28715.53125</v>
      </c>
      <c r="E84" s="170">
        <f t="shared" si="33"/>
        <v>0.46511627906976744</v>
      </c>
      <c r="F84" s="168">
        <f t="shared" si="34"/>
        <v>976.7441860465116</v>
      </c>
      <c r="G84" s="171">
        <f t="shared" si="35"/>
        <v>0.005507901926202582</v>
      </c>
      <c r="H84" s="171">
        <f t="shared" si="36"/>
        <v>5.379811183732754</v>
      </c>
      <c r="I84" s="190">
        <f t="shared" si="53"/>
        <v>10.457516339869283</v>
      </c>
      <c r="J84" s="173">
        <f t="shared" si="46"/>
        <v>7</v>
      </c>
      <c r="K84" s="168">
        <f t="shared" si="37"/>
        <v>2.4609374999999996</v>
      </c>
      <c r="L84" s="174">
        <f t="shared" si="38"/>
        <v>0.08508731617647061</v>
      </c>
      <c r="M84" s="192">
        <f t="shared" si="28"/>
        <v>9.567714340638217</v>
      </c>
      <c r="N84" s="175">
        <f t="shared" si="48"/>
        <v>12.135428681276434</v>
      </c>
      <c r="O84" s="175">
        <f t="shared" si="47"/>
        <v>91.70581153196426</v>
      </c>
      <c r="P84" s="185">
        <f t="shared" si="49"/>
        <v>2385.0018476401624</v>
      </c>
      <c r="Q84" s="185">
        <f t="shared" si="50"/>
        <v>11739.11620443716</v>
      </c>
      <c r="R84" s="180">
        <f t="shared" si="51"/>
        <v>0.731627194414446</v>
      </c>
      <c r="S84" s="178">
        <f t="shared" si="40"/>
        <v>0.18341162306392852</v>
      </c>
      <c r="T84" s="174">
        <f t="shared" si="41"/>
        <v>13003.548018376485</v>
      </c>
      <c r="U84" s="237">
        <f t="shared" si="42"/>
        <v>0.13255400630353195</v>
      </c>
      <c r="V84" s="237">
        <f t="shared" si="43"/>
        <v>0.515</v>
      </c>
      <c r="W84" s="245">
        <f t="shared" si="55"/>
        <v>0.25738642000685813</v>
      </c>
      <c r="X84" s="246">
        <f t="shared" si="56"/>
      </c>
      <c r="Y84" s="133"/>
      <c r="Z84" s="133"/>
      <c r="AA84" s="133"/>
      <c r="AB84" s="133"/>
      <c r="AC84" s="133"/>
      <c r="AD84" s="133"/>
      <c r="AE84" s="133"/>
      <c r="AP84" s="133"/>
      <c r="AQ84" s="133"/>
      <c r="AR84" s="133"/>
      <c r="AS84" s="133"/>
      <c r="AT84" s="133"/>
      <c r="AU84" s="133"/>
      <c r="AV84" s="133"/>
    </row>
    <row r="85" spans="1:48" s="181" customFormat="1" ht="12.75">
      <c r="A85" s="189"/>
      <c r="B85" s="191">
        <v>2200</v>
      </c>
      <c r="C85" s="168">
        <f t="shared" si="44"/>
        <v>14.546875</v>
      </c>
      <c r="D85" s="244">
        <f t="shared" si="54"/>
        <v>30082.9375</v>
      </c>
      <c r="E85" s="170">
        <f t="shared" si="33"/>
        <v>0.46511627906976744</v>
      </c>
      <c r="F85" s="168">
        <f t="shared" si="34"/>
        <v>1023.2558139534883</v>
      </c>
      <c r="G85" s="171">
        <f t="shared" si="35"/>
        <v>0.005507901926202582</v>
      </c>
      <c r="H85" s="171">
        <f t="shared" si="36"/>
        <v>5.635992668672409</v>
      </c>
      <c r="I85" s="190">
        <f t="shared" si="53"/>
        <v>10.955493308434487</v>
      </c>
      <c r="J85" s="173">
        <f t="shared" si="46"/>
        <v>7</v>
      </c>
      <c r="K85" s="168">
        <f t="shared" si="37"/>
        <v>2.4609374999999996</v>
      </c>
      <c r="L85" s="174">
        <f t="shared" si="38"/>
        <v>0.09734221813725494</v>
      </c>
      <c r="M85" s="192">
        <f t="shared" si="28"/>
        <v>9.88906128900362</v>
      </c>
      <c r="N85" s="175">
        <f t="shared" si="48"/>
        <v>12.778122578007238</v>
      </c>
      <c r="O85" s="175">
        <f t="shared" si="47"/>
        <v>91.70581153196426</v>
      </c>
      <c r="P85" s="185">
        <f t="shared" si="49"/>
        <v>2773.6115460852857</v>
      </c>
      <c r="Q85" s="185">
        <f t="shared" si="50"/>
        <v>14110.395496034553</v>
      </c>
      <c r="R85" s="180">
        <f t="shared" si="51"/>
        <v>0.7078528280316979</v>
      </c>
      <c r="S85" s="178">
        <f t="shared" si="40"/>
        <v>0.18341162306392852</v>
      </c>
      <c r="T85" s="174">
        <f t="shared" si="41"/>
        <v>15122.332487721005</v>
      </c>
      <c r="U85" s="237">
        <f t="shared" si="42"/>
        <v>0.15415221700021411</v>
      </c>
      <c r="V85" s="237">
        <f t="shared" si="43"/>
        <v>0.515</v>
      </c>
      <c r="W85" s="245">
        <f t="shared" si="55"/>
        <v>0.2993246932042992</v>
      </c>
      <c r="X85" s="246">
        <f t="shared" si="56"/>
      </c>
      <c r="Y85" s="133"/>
      <c r="Z85" s="133"/>
      <c r="AA85" s="133"/>
      <c r="AB85" s="133"/>
      <c r="AC85" s="133"/>
      <c r="AD85" s="133"/>
      <c r="AE85" s="133"/>
      <c r="AP85" s="133"/>
      <c r="AQ85" s="133"/>
      <c r="AR85" s="133"/>
      <c r="AS85" s="133"/>
      <c r="AT85" s="133"/>
      <c r="AU85" s="133"/>
      <c r="AV85" s="133"/>
    </row>
    <row r="86" spans="1:48" s="181" customFormat="1" ht="12.75">
      <c r="A86" s="189"/>
      <c r="B86" s="191">
        <v>2300</v>
      </c>
      <c r="C86" s="168">
        <f t="shared" si="44"/>
        <v>14.546875</v>
      </c>
      <c r="D86" s="244">
        <f t="shared" si="54"/>
        <v>31450.34375</v>
      </c>
      <c r="E86" s="170">
        <f t="shared" si="33"/>
        <v>0.46511627906976744</v>
      </c>
      <c r="F86" s="168">
        <f t="shared" si="34"/>
        <v>1069.7674418604652</v>
      </c>
      <c r="G86" s="171">
        <f t="shared" si="35"/>
        <v>0.005507901926202582</v>
      </c>
      <c r="H86" s="171">
        <f t="shared" si="36"/>
        <v>5.892174153612064</v>
      </c>
      <c r="I86" s="190">
        <f t="shared" si="53"/>
        <v>11.453470276999692</v>
      </c>
      <c r="J86" s="173">
        <f t="shared" si="46"/>
        <v>7</v>
      </c>
      <c r="K86" s="168">
        <f t="shared" si="37"/>
        <v>2.4609374999999996</v>
      </c>
      <c r="L86" s="174">
        <f t="shared" si="38"/>
        <v>0.10959712009803928</v>
      </c>
      <c r="M86" s="192">
        <f t="shared" si="28"/>
        <v>10.198202919512035</v>
      </c>
      <c r="N86" s="175">
        <f t="shared" si="48"/>
        <v>13.39640583902407</v>
      </c>
      <c r="O86" s="175">
        <f t="shared" si="47"/>
        <v>91.70581153196426</v>
      </c>
      <c r="P86" s="185">
        <f t="shared" si="49"/>
        <v>3166.383235048024</v>
      </c>
      <c r="Q86" s="185">
        <f t="shared" si="50"/>
        <v>16612.140980175347</v>
      </c>
      <c r="R86" s="180">
        <f t="shared" si="51"/>
        <v>0.6863954419466423</v>
      </c>
      <c r="S86" s="178">
        <f t="shared" si="40"/>
        <v>0.18341162306392852</v>
      </c>
      <c r="T86" s="174">
        <f t="shared" si="41"/>
        <v>17263.80903321691</v>
      </c>
      <c r="U86" s="237">
        <f t="shared" si="42"/>
        <v>0.1759817434578686</v>
      </c>
      <c r="V86" s="237">
        <f t="shared" si="43"/>
        <v>0.515</v>
      </c>
      <c r="W86" s="245">
        <f t="shared" si="55"/>
        <v>0.34171212321916233</v>
      </c>
      <c r="X86" s="246">
        <f t="shared" si="56"/>
      </c>
      <c r="Y86" s="133"/>
      <c r="Z86" s="133"/>
      <c r="AA86" s="133"/>
      <c r="AB86" s="133"/>
      <c r="AC86" s="133"/>
      <c r="AD86" s="133"/>
      <c r="AE86" s="133"/>
      <c r="AP86" s="133"/>
      <c r="AQ86" s="133"/>
      <c r="AR86" s="133"/>
      <c r="AS86" s="133"/>
      <c r="AT86" s="133"/>
      <c r="AU86" s="133"/>
      <c r="AV86" s="133"/>
    </row>
    <row r="87" spans="1:48" s="181" customFormat="1" ht="12.75">
      <c r="A87" s="189"/>
      <c r="B87" s="191">
        <v>2400</v>
      </c>
      <c r="C87" s="168">
        <f t="shared" si="44"/>
        <v>14.546875</v>
      </c>
      <c r="D87" s="244">
        <f t="shared" si="54"/>
        <v>32817.75</v>
      </c>
      <c r="E87" s="170">
        <f t="shared" si="33"/>
        <v>0.46511627906976744</v>
      </c>
      <c r="F87" s="168">
        <f t="shared" si="34"/>
        <v>1116.2790697674418</v>
      </c>
      <c r="G87" s="171">
        <f t="shared" si="35"/>
        <v>0.005507901926202582</v>
      </c>
      <c r="H87" s="171">
        <f t="shared" si="36"/>
        <v>6.148355638551719</v>
      </c>
      <c r="I87" s="190">
        <f t="shared" si="53"/>
        <v>11.951447245564895</v>
      </c>
      <c r="J87" s="173">
        <f t="shared" si="46"/>
        <v>7</v>
      </c>
      <c r="K87" s="168">
        <f t="shared" si="37"/>
        <v>2.4609374999999996</v>
      </c>
      <c r="L87" s="174">
        <f t="shared" si="38"/>
        <v>0.12185202205882355</v>
      </c>
      <c r="M87" s="192">
        <f t="shared" si="28"/>
        <v>10.495139232163455</v>
      </c>
      <c r="N87" s="175">
        <f t="shared" si="48"/>
        <v>13.99027846432691</v>
      </c>
      <c r="O87" s="175">
        <f t="shared" si="47"/>
        <v>91.70581153196426</v>
      </c>
      <c r="P87" s="185">
        <f t="shared" si="49"/>
        <v>3561.119096909969</v>
      </c>
      <c r="Q87" s="185">
        <f t="shared" si="50"/>
        <v>19227.073405167623</v>
      </c>
      <c r="R87" s="180">
        <f t="shared" si="51"/>
        <v>0.6669754297825574</v>
      </c>
      <c r="S87" s="178">
        <f t="shared" si="40"/>
        <v>0.18341162306392852</v>
      </c>
      <c r="T87" s="174">
        <f t="shared" si="41"/>
        <v>19415.99467591393</v>
      </c>
      <c r="U87" s="237">
        <f t="shared" si="42"/>
        <v>0.19792043502460685</v>
      </c>
      <c r="V87" s="237">
        <f t="shared" si="43"/>
        <v>0.515</v>
      </c>
      <c r="W87" s="245">
        <f t="shared" si="55"/>
        <v>0.38431152431962495</v>
      </c>
      <c r="X87" s="246">
        <f t="shared" si="56"/>
      </c>
      <c r="Y87" s="133"/>
      <c r="Z87" s="133"/>
      <c r="AA87" s="133"/>
      <c r="AB87" s="133"/>
      <c r="AC87" s="133"/>
      <c r="AD87" s="133"/>
      <c r="AE87" s="133"/>
      <c r="AP87" s="133"/>
      <c r="AQ87" s="133"/>
      <c r="AR87" s="133"/>
      <c r="AS87" s="133"/>
      <c r="AT87" s="133"/>
      <c r="AU87" s="133"/>
      <c r="AV87" s="133"/>
    </row>
    <row r="88" spans="2:35" s="83" customFormat="1" ht="12.75">
      <c r="B88" s="191">
        <v>2500</v>
      </c>
      <c r="C88" s="168">
        <f t="shared" si="44"/>
        <v>14.546875</v>
      </c>
      <c r="D88" s="244">
        <f t="shared" si="54"/>
        <v>34185.15625</v>
      </c>
      <c r="E88" s="170">
        <f t="shared" si="33"/>
        <v>0.46511627906976744</v>
      </c>
      <c r="F88" s="168">
        <f t="shared" si="34"/>
        <v>1162.7906976744187</v>
      </c>
      <c r="G88" s="171">
        <f t="shared" si="35"/>
        <v>0.005507901926202582</v>
      </c>
      <c r="H88" s="171">
        <f t="shared" si="36"/>
        <v>6.404537123491374</v>
      </c>
      <c r="I88" s="190">
        <f t="shared" si="53"/>
        <v>12.449424214130099</v>
      </c>
      <c r="J88" s="173">
        <f t="shared" si="46"/>
        <v>7</v>
      </c>
      <c r="K88" s="168">
        <f t="shared" si="37"/>
        <v>2.4609374999999996</v>
      </c>
      <c r="L88" s="174">
        <f t="shared" si="38"/>
        <v>0.1341069240196079</v>
      </c>
      <c r="M88" s="192">
        <f t="shared" si="28"/>
        <v>10.779870226957888</v>
      </c>
      <c r="N88" s="175">
        <f t="shared" si="48"/>
        <v>14.559740453915776</v>
      </c>
      <c r="O88" s="175">
        <f t="shared" si="47"/>
        <v>91.70581153196426</v>
      </c>
      <c r="P88" s="185">
        <f t="shared" si="49"/>
        <v>3955.7080867807563</v>
      </c>
      <c r="Q88" s="185">
        <f t="shared" si="50"/>
        <v>21936.950202063235</v>
      </c>
      <c r="R88" s="180">
        <f t="shared" si="51"/>
        <v>0.6493584665328036</v>
      </c>
      <c r="S88" s="178">
        <f t="shared" si="40"/>
        <v>0.18341162306392852</v>
      </c>
      <c r="T88" s="174">
        <f t="shared" si="41"/>
        <v>21567.379540619328</v>
      </c>
      <c r="U88" s="237">
        <f t="shared" si="42"/>
        <v>0.21985096371681273</v>
      </c>
      <c r="V88" s="237">
        <f t="shared" si="43"/>
        <v>0.515</v>
      </c>
      <c r="W88" s="245">
        <f t="shared" si="55"/>
        <v>0.42689507517827713</v>
      </c>
      <c r="X88" s="246">
        <f t="shared" si="56"/>
      </c>
      <c r="Y88" s="133"/>
      <c r="Z88" s="133"/>
      <c r="AA88" s="133"/>
      <c r="AB88" s="133"/>
      <c r="AC88" s="133"/>
      <c r="AD88" s="133"/>
      <c r="AE88" s="133"/>
      <c r="AF88" s="91"/>
      <c r="AG88" s="91"/>
      <c r="AH88" s="91"/>
      <c r="AI88" s="91"/>
    </row>
    <row r="89" spans="1:41" s="247" customFormat="1" ht="12.75">
      <c r="A89" s="189" t="s">
        <v>24</v>
      </c>
      <c r="B89" s="191">
        <v>2600</v>
      </c>
      <c r="C89" s="168">
        <f t="shared" si="44"/>
        <v>14.546875</v>
      </c>
      <c r="D89" s="244">
        <f t="shared" si="54"/>
        <v>35552.5625</v>
      </c>
      <c r="E89" s="170">
        <f t="shared" si="33"/>
        <v>0.46511627906976744</v>
      </c>
      <c r="F89" s="168">
        <f t="shared" si="34"/>
        <v>1209.3023255813953</v>
      </c>
      <c r="G89" s="171">
        <f t="shared" si="35"/>
        <v>0.005507901926202582</v>
      </c>
      <c r="H89" s="171">
        <f t="shared" si="36"/>
        <v>6.660718608431028</v>
      </c>
      <c r="I89" s="190">
        <f t="shared" si="53"/>
        <v>12.947401182695303</v>
      </c>
      <c r="J89" s="173">
        <f t="shared" si="46"/>
        <v>7</v>
      </c>
      <c r="K89" s="168">
        <f t="shared" si="37"/>
        <v>2.4609374999999996</v>
      </c>
      <c r="L89" s="174">
        <f t="shared" si="38"/>
        <v>0.1463618259803922</v>
      </c>
      <c r="M89" s="192">
        <f t="shared" si="28"/>
        <v>11.052395903895327</v>
      </c>
      <c r="N89" s="175">
        <f t="shared" si="48"/>
        <v>15.104791807790654</v>
      </c>
      <c r="O89" s="175">
        <f t="shared" si="47"/>
        <v>91.70581153196426</v>
      </c>
      <c r="P89" s="185">
        <f t="shared" si="49"/>
        <v>4348.125932498019</v>
      </c>
      <c r="Q89" s="185">
        <f t="shared" si="50"/>
        <v>24722.764312089424</v>
      </c>
      <c r="R89" s="180">
        <f t="shared" si="51"/>
        <v>0.6333468381758661</v>
      </c>
      <c r="S89" s="178">
        <f t="shared" si="40"/>
        <v>0.18341162306392852</v>
      </c>
      <c r="T89" s="174">
        <f t="shared" si="41"/>
        <v>23706.926855897626</v>
      </c>
      <c r="U89" s="237">
        <f t="shared" si="42"/>
        <v>0.24166082421913992</v>
      </c>
      <c r="V89" s="237">
        <f t="shared" si="43"/>
        <v>0.515</v>
      </c>
      <c r="W89" s="245">
        <f t="shared" si="55"/>
        <v>0.4692443188721164</v>
      </c>
      <c r="X89" s="246">
        <f t="shared" si="56"/>
      </c>
      <c r="Y89" s="120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</row>
    <row r="90" spans="1:24" s="83" customFormat="1" ht="12.75">
      <c r="A90" s="189" t="s">
        <v>26</v>
      </c>
      <c r="B90" s="191">
        <v>2700</v>
      </c>
      <c r="C90" s="168">
        <f t="shared" si="44"/>
        <v>14.546875</v>
      </c>
      <c r="D90" s="244">
        <f t="shared" si="54"/>
        <v>36919.96875</v>
      </c>
      <c r="E90" s="170">
        <f t="shared" si="33"/>
        <v>0.46511627906976744</v>
      </c>
      <c r="F90" s="168">
        <f t="shared" si="34"/>
        <v>1255.8139534883721</v>
      </c>
      <c r="G90" s="171">
        <f t="shared" si="35"/>
        <v>0.005507901926202582</v>
      </c>
      <c r="H90" s="171">
        <f t="shared" si="36"/>
        <v>6.916900093370684</v>
      </c>
      <c r="I90" s="190">
        <f t="shared" si="53"/>
        <v>13.445378151260508</v>
      </c>
      <c r="J90" s="173">
        <f t="shared" si="46"/>
        <v>7</v>
      </c>
      <c r="K90" s="168">
        <f t="shared" si="37"/>
        <v>2.4609374999999996</v>
      </c>
      <c r="L90" s="174">
        <f t="shared" si="38"/>
        <v>0.15861672794117654</v>
      </c>
      <c r="M90" s="192">
        <f t="shared" si="28"/>
        <v>11.312716262975782</v>
      </c>
      <c r="N90" s="175">
        <f t="shared" si="48"/>
        <v>15.625432525951563</v>
      </c>
      <c r="O90" s="175">
        <f t="shared" si="47"/>
        <v>91.70581153196426</v>
      </c>
      <c r="P90" s="185">
        <f t="shared" si="49"/>
        <v>4736.435134627441</v>
      </c>
      <c r="Q90" s="185">
        <f t="shared" si="50"/>
        <v>27564.93484144641</v>
      </c>
      <c r="R90" s="180">
        <f t="shared" si="51"/>
        <v>0.6187727012043585</v>
      </c>
      <c r="S90" s="178">
        <f t="shared" si="40"/>
        <v>0.18341162306392852</v>
      </c>
      <c r="T90" s="174">
        <f t="shared" si="41"/>
        <v>25824.072954070885</v>
      </c>
      <c r="U90" s="237">
        <f t="shared" si="42"/>
        <v>0.2632423338845146</v>
      </c>
      <c r="V90" s="237">
        <f t="shared" si="43"/>
        <v>0.515</v>
      </c>
      <c r="W90" s="245">
        <f t="shared" si="55"/>
        <v>0.5111501628825527</v>
      </c>
      <c r="X90" s="246">
        <f t="shared" si="56"/>
      </c>
    </row>
    <row r="91" spans="1:24" s="134" customFormat="1" ht="12.75">
      <c r="A91" s="189" t="s">
        <v>27</v>
      </c>
      <c r="B91" s="191">
        <v>2800</v>
      </c>
      <c r="C91" s="168">
        <f t="shared" si="44"/>
        <v>14.546875</v>
      </c>
      <c r="D91" s="244">
        <f t="shared" si="54"/>
        <v>38287.375</v>
      </c>
      <c r="E91" s="170">
        <f t="shared" si="33"/>
        <v>0.46511627906976744</v>
      </c>
      <c r="F91" s="168">
        <f t="shared" si="34"/>
        <v>1302.3255813953488</v>
      </c>
      <c r="G91" s="171">
        <f t="shared" si="35"/>
        <v>0.005507901926202582</v>
      </c>
      <c r="H91" s="171">
        <f t="shared" si="36"/>
        <v>7.173081578310338</v>
      </c>
      <c r="I91" s="190">
        <f t="shared" si="53"/>
        <v>13.94335511982571</v>
      </c>
      <c r="J91" s="173">
        <f t="shared" si="46"/>
        <v>7</v>
      </c>
      <c r="K91" s="168">
        <f t="shared" si="37"/>
        <v>2.4609374999999996</v>
      </c>
      <c r="L91" s="174">
        <f t="shared" si="38"/>
        <v>0.1708716299019608</v>
      </c>
      <c r="M91" s="192">
        <f t="shared" si="28"/>
        <v>11.560831304199242</v>
      </c>
      <c r="N91" s="175">
        <f t="shared" si="48"/>
        <v>16.121662608398484</v>
      </c>
      <c r="O91" s="175">
        <f t="shared" si="47"/>
        <v>91.70581153196426</v>
      </c>
      <c r="P91" s="185">
        <f t="shared" si="49"/>
        <v>5118.784966462694</v>
      </c>
      <c r="Q91" s="185">
        <f t="shared" si="50"/>
        <v>30443.489543469528</v>
      </c>
      <c r="R91" s="180">
        <f t="shared" si="51"/>
        <v>0.605492789904943</v>
      </c>
      <c r="S91" s="178">
        <f t="shared" si="40"/>
        <v>0.18341162306392852</v>
      </c>
      <c r="T91" s="174">
        <f t="shared" si="41"/>
        <v>27908.727271218413</v>
      </c>
      <c r="U91" s="237">
        <f t="shared" si="42"/>
        <v>0.28449263273413267</v>
      </c>
      <c r="V91" s="237">
        <f t="shared" si="43"/>
        <v>0.515</v>
      </c>
      <c r="W91" s="245">
        <f t="shared" si="55"/>
        <v>0.5524128790954033</v>
      </c>
      <c r="X91" s="246">
        <f t="shared" si="56"/>
      </c>
    </row>
    <row r="92" spans="1:24" s="166" customFormat="1" ht="12.75">
      <c r="A92" s="83"/>
      <c r="B92" s="191">
        <v>2900</v>
      </c>
      <c r="C92" s="168">
        <f t="shared" si="44"/>
        <v>14.546875</v>
      </c>
      <c r="D92" s="244">
        <f t="shared" si="54"/>
        <v>39654.78125</v>
      </c>
      <c r="E92" s="170">
        <f t="shared" si="33"/>
        <v>0.46511627906976744</v>
      </c>
      <c r="F92" s="168">
        <f t="shared" si="34"/>
        <v>1348.8372093023256</v>
      </c>
      <c r="G92" s="171">
        <f t="shared" si="35"/>
        <v>0.005507901926202582</v>
      </c>
      <c r="H92" s="171">
        <f t="shared" si="36"/>
        <v>7.429263063249994</v>
      </c>
      <c r="I92" s="190">
        <f t="shared" si="53"/>
        <v>14.441332088390917</v>
      </c>
      <c r="J92" s="173">
        <f t="shared" si="46"/>
        <v>7</v>
      </c>
      <c r="K92" s="168">
        <f t="shared" si="37"/>
        <v>2.4609374999999996</v>
      </c>
      <c r="L92" s="174">
        <f t="shared" si="38"/>
        <v>0.1831265318627452</v>
      </c>
      <c r="M92" s="184">
        <f t="shared" si="28"/>
        <v>11.796741027565712</v>
      </c>
      <c r="N92" s="175">
        <f t="shared" si="48"/>
        <v>16.593482055131425</v>
      </c>
      <c r="O92" s="175">
        <f t="shared" si="47"/>
        <v>91.70581153196426</v>
      </c>
      <c r="P92" s="185">
        <f t="shared" si="49"/>
        <v>5493.4114740254945</v>
      </c>
      <c r="Q92" s="185">
        <f t="shared" si="50"/>
        <v>33338.23912815748</v>
      </c>
      <c r="R92" s="180">
        <f t="shared" si="51"/>
        <v>0.5933842222731636</v>
      </c>
      <c r="S92" s="178">
        <f t="shared" si="40"/>
        <v>0.18341162306392852</v>
      </c>
      <c r="T92" s="174">
        <f t="shared" si="41"/>
        <v>29951.272347177004</v>
      </c>
      <c r="U92" s="237">
        <f t="shared" si="42"/>
        <v>0.3053136834574618</v>
      </c>
      <c r="V92" s="237">
        <f t="shared" si="43"/>
        <v>0.515</v>
      </c>
      <c r="W92" s="245">
        <f t="shared" si="55"/>
        <v>0.5928421038008966</v>
      </c>
      <c r="X92" s="246">
        <f t="shared" si="56"/>
      </c>
    </row>
    <row r="93" spans="1:24" s="166" customFormat="1" ht="12.75">
      <c r="A93" s="83"/>
      <c r="B93" s="191">
        <v>3000</v>
      </c>
      <c r="C93" s="168">
        <f t="shared" si="44"/>
        <v>14.546875</v>
      </c>
      <c r="D93" s="244">
        <f t="shared" si="54"/>
        <v>41022.1875</v>
      </c>
      <c r="E93" s="170">
        <f t="shared" si="33"/>
        <v>0.46511627906976744</v>
      </c>
      <c r="F93" s="168">
        <f t="shared" si="34"/>
        <v>1395.3488372093022</v>
      </c>
      <c r="G93" s="171">
        <f t="shared" si="35"/>
        <v>0.005507901926202582</v>
      </c>
      <c r="H93" s="171">
        <f t="shared" si="36"/>
        <v>7.685444548189649</v>
      </c>
      <c r="I93" s="190">
        <f t="shared" si="53"/>
        <v>14.93930905695612</v>
      </c>
      <c r="J93" s="173">
        <f t="shared" si="46"/>
        <v>7</v>
      </c>
      <c r="K93" s="168">
        <f t="shared" si="37"/>
        <v>2.4609374999999996</v>
      </c>
      <c r="L93" s="174">
        <f t="shared" si="38"/>
        <v>0.19538143382352946</v>
      </c>
      <c r="M93" s="184">
        <f t="shared" si="28"/>
        <v>12.020445433075194</v>
      </c>
      <c r="N93" s="175">
        <f t="shared" si="48"/>
        <v>17.040890866150388</v>
      </c>
      <c r="O93" s="175">
        <f t="shared" si="47"/>
        <v>91.70581153196426</v>
      </c>
      <c r="P93" s="185">
        <f t="shared" si="49"/>
        <v>5858.637476065575</v>
      </c>
      <c r="Q93" s="185">
        <f t="shared" si="50"/>
        <v>36228.94339906537</v>
      </c>
      <c r="R93" s="180">
        <f t="shared" si="51"/>
        <v>0.5823411485849729</v>
      </c>
      <c r="S93" s="178">
        <f t="shared" si="40"/>
        <v>0.18341162306392852</v>
      </c>
      <c r="T93" s="174">
        <f t="shared" si="41"/>
        <v>31942.56382554084</v>
      </c>
      <c r="U93" s="237">
        <f t="shared" si="42"/>
        <v>0.325612271412241</v>
      </c>
      <c r="V93" s="237">
        <f t="shared" si="43"/>
        <v>0.515</v>
      </c>
      <c r="W93" s="245">
        <f t="shared" si="55"/>
        <v>0.6322568376936718</v>
      </c>
      <c r="X93" s="246">
        <f t="shared" si="56"/>
      </c>
    </row>
    <row r="94" spans="2:24" s="166" customFormat="1" ht="12.75">
      <c r="B94" s="182">
        <v>3100</v>
      </c>
      <c r="C94" s="168">
        <f t="shared" si="44"/>
        <v>14.546875</v>
      </c>
      <c r="D94" s="244">
        <f t="shared" si="54"/>
        <v>42389.59375</v>
      </c>
      <c r="E94" s="170">
        <f t="shared" si="33"/>
        <v>0.46511627906976744</v>
      </c>
      <c r="F94" s="168">
        <f t="shared" si="34"/>
        <v>1441.860465116279</v>
      </c>
      <c r="G94" s="171">
        <f t="shared" si="35"/>
        <v>0.005507901926202582</v>
      </c>
      <c r="H94" s="171">
        <f t="shared" si="36"/>
        <v>7.941626033129304</v>
      </c>
      <c r="I94" s="183">
        <f t="shared" si="53"/>
        <v>15.437286025521324</v>
      </c>
      <c r="J94" s="173">
        <f t="shared" si="46"/>
        <v>7</v>
      </c>
      <c r="K94" s="168">
        <f t="shared" si="37"/>
        <v>2.4609374999999996</v>
      </c>
      <c r="L94" s="174">
        <f t="shared" si="38"/>
        <v>0.20763633578431379</v>
      </c>
      <c r="M94" s="184">
        <f t="shared" si="28"/>
        <v>12.231944520727684</v>
      </c>
      <c r="N94" s="175">
        <f t="shared" si="48"/>
        <v>17.463889041455367</v>
      </c>
      <c r="O94" s="175">
        <f t="shared" si="47"/>
        <v>91.70581153196426</v>
      </c>
      <c r="P94" s="185">
        <f t="shared" si="49"/>
        <v>6212.872564060686</v>
      </c>
      <c r="Q94" s="185">
        <f t="shared" si="50"/>
        <v>39095.46921756322</v>
      </c>
      <c r="R94" s="180">
        <f t="shared" si="51"/>
        <v>0.5722720527499227</v>
      </c>
      <c r="S94" s="178">
        <f t="shared" si="40"/>
        <v>0.18341162306392852</v>
      </c>
      <c r="T94" s="174">
        <f t="shared" si="41"/>
        <v>33873.930453661465</v>
      </c>
      <c r="U94" s="237">
        <f t="shared" si="42"/>
        <v>0.3453000046244798</v>
      </c>
      <c r="V94" s="237">
        <f t="shared" si="43"/>
        <v>0.515</v>
      </c>
      <c r="W94" s="245">
        <f t="shared" si="55"/>
        <v>0.6704854458727763</v>
      </c>
      <c r="X94" s="246">
        <f t="shared" si="56"/>
      </c>
    </row>
    <row r="95" spans="1:24" s="166" customFormat="1" ht="12.75">
      <c r="A95" s="189" t="s">
        <v>24</v>
      </c>
      <c r="B95" s="182">
        <v>3200</v>
      </c>
      <c r="C95" s="168">
        <f t="shared" si="44"/>
        <v>14.546875</v>
      </c>
      <c r="D95" s="244">
        <f t="shared" si="54"/>
        <v>43757</v>
      </c>
      <c r="E95" s="170">
        <f t="shared" si="33"/>
        <v>0.46511627906976744</v>
      </c>
      <c r="F95" s="168">
        <f t="shared" si="34"/>
        <v>1488.3720930232557</v>
      </c>
      <c r="G95" s="171">
        <f t="shared" si="35"/>
        <v>0.005507901926202582</v>
      </c>
      <c r="H95" s="171">
        <f t="shared" si="36"/>
        <v>8.197807518068958</v>
      </c>
      <c r="I95" s="183">
        <f t="shared" si="53"/>
        <v>15.935262994086525</v>
      </c>
      <c r="J95" s="173">
        <f t="shared" si="46"/>
        <v>7</v>
      </c>
      <c r="K95" s="168">
        <f t="shared" si="37"/>
        <v>2.4609374999999996</v>
      </c>
      <c r="L95" s="174">
        <f t="shared" si="38"/>
        <v>0.21989123774509803</v>
      </c>
      <c r="M95" s="184">
        <f t="shared" si="28"/>
        <v>12.431238290523185</v>
      </c>
      <c r="N95" s="175">
        <f t="shared" si="48"/>
        <v>17.86247658104637</v>
      </c>
      <c r="O95" s="175">
        <f t="shared" si="47"/>
        <v>91.70581153196426</v>
      </c>
      <c r="P95" s="185">
        <f t="shared" si="49"/>
        <v>6554.613102216605</v>
      </c>
      <c r="Q95" s="185">
        <f t="shared" si="50"/>
        <v>41917.94029445992</v>
      </c>
      <c r="R95" s="180">
        <f t="shared" si="51"/>
        <v>0.5630975640887177</v>
      </c>
      <c r="S95" s="178">
        <f t="shared" si="40"/>
        <v>0.18341162306392852</v>
      </c>
      <c r="T95" s="174">
        <f t="shared" si="41"/>
        <v>35737.174082647856</v>
      </c>
      <c r="U95" s="237">
        <f t="shared" si="42"/>
        <v>0.3642933137884593</v>
      </c>
      <c r="V95" s="237">
        <f t="shared" si="43"/>
        <v>0.515</v>
      </c>
      <c r="W95" s="245">
        <f t="shared" si="55"/>
        <v>0.7073656578416685</v>
      </c>
      <c r="X95" s="246">
        <f t="shared" si="56"/>
      </c>
    </row>
    <row r="96" spans="1:24" s="166" customFormat="1" ht="12.75">
      <c r="A96" s="189" t="s">
        <v>28</v>
      </c>
      <c r="B96" s="182">
        <v>3300</v>
      </c>
      <c r="C96" s="168">
        <f>C95</f>
        <v>14.546875</v>
      </c>
      <c r="D96" s="244">
        <f t="shared" si="54"/>
        <v>45124.40625</v>
      </c>
      <c r="E96" s="170">
        <f>E95</f>
        <v>0.46511627906976744</v>
      </c>
      <c r="F96" s="168">
        <f>E96*B96</f>
        <v>1534.8837209302326</v>
      </c>
      <c r="G96" s="171">
        <f>G95</f>
        <v>0.005507901926202582</v>
      </c>
      <c r="H96" s="171">
        <f>G96*F96</f>
        <v>8.453989003008614</v>
      </c>
      <c r="I96" s="183">
        <f t="shared" si="53"/>
        <v>16.433239962651733</v>
      </c>
      <c r="J96" s="173">
        <f>J95</f>
        <v>7</v>
      </c>
      <c r="K96" s="168">
        <f>K95</f>
        <v>2.4609374999999996</v>
      </c>
      <c r="L96" s="174">
        <f>K96*(I96-J96)/100</f>
        <v>0.23214613970588246</v>
      </c>
      <c r="M96" s="184">
        <f>(1-L96)*H96*(3600/1852)</f>
        <v>12.618326742461692</v>
      </c>
      <c r="N96" s="175">
        <f>2*M96-J96</f>
        <v>18.236653484923384</v>
      </c>
      <c r="O96" s="175">
        <f>O95</f>
        <v>91.70581153196426</v>
      </c>
      <c r="P96" s="185">
        <f>O96*((N96-J96)*(1852/3600))*((N96+J96)*(1852/3600))</f>
        <v>6882.442227467121</v>
      </c>
      <c r="Q96" s="185">
        <f>(P96*((N96+J96)*(1852/3600))/2)</f>
        <v>44676.87880899227</v>
      </c>
      <c r="R96" s="180">
        <f>J96/M96</f>
        <v>0.5547486717430159</v>
      </c>
      <c r="S96" s="178">
        <f>S95</f>
        <v>0.18341162306392852</v>
      </c>
      <c r="T96" s="174">
        <f>P96/(S96)</f>
        <v>37524.56966736634</v>
      </c>
      <c r="U96" s="237">
        <f t="shared" si="42"/>
        <v>0.3825134522667313</v>
      </c>
      <c r="V96" s="237">
        <f>V95</f>
        <v>0.515</v>
      </c>
      <c r="W96" s="245">
        <f>IF(U96/V96&lt;1,U96/V96,"Cavitation ?")</f>
        <v>0.742744567508216</v>
      </c>
      <c r="X96" s="246">
        <f>IF(Q96&gt;D96,"P &gt; puissance disponible","")</f>
      </c>
    </row>
    <row r="97" spans="1:24" s="166" customFormat="1" ht="12.75">
      <c r="A97" s="189" t="s">
        <v>27</v>
      </c>
      <c r="B97" s="182">
        <v>3400</v>
      </c>
      <c r="C97" s="168">
        <f>C96</f>
        <v>14.546875</v>
      </c>
      <c r="D97" s="244">
        <f t="shared" si="54"/>
        <v>46491.8125</v>
      </c>
      <c r="E97" s="170">
        <f>E95</f>
        <v>0.46511627906976744</v>
      </c>
      <c r="F97" s="168">
        <f t="shared" si="34"/>
        <v>1581.3953488372092</v>
      </c>
      <c r="G97" s="171">
        <f>G95</f>
        <v>0.005507901926202582</v>
      </c>
      <c r="H97" s="171">
        <f t="shared" si="36"/>
        <v>8.710170487948268</v>
      </c>
      <c r="I97" s="183">
        <f t="shared" si="53"/>
        <v>16.931216931216934</v>
      </c>
      <c r="J97" s="173">
        <f>J95</f>
        <v>7</v>
      </c>
      <c r="K97" s="168">
        <f>K95</f>
        <v>2.4609374999999996</v>
      </c>
      <c r="L97" s="174">
        <f t="shared" si="38"/>
        <v>0.24440104166666668</v>
      </c>
      <c r="M97" s="184">
        <f t="shared" si="28"/>
        <v>12.793209876543212</v>
      </c>
      <c r="N97" s="175">
        <f t="shared" si="48"/>
        <v>18.586419753086425</v>
      </c>
      <c r="O97" s="175">
        <f>O95</f>
        <v>91.70581153196426</v>
      </c>
      <c r="P97" s="185">
        <f t="shared" si="49"/>
        <v>7195.029849474062</v>
      </c>
      <c r="Q97" s="185">
        <f t="shared" si="50"/>
        <v>47353.338855179725</v>
      </c>
      <c r="R97" s="180">
        <f t="shared" si="51"/>
        <v>0.5471652593486127</v>
      </c>
      <c r="S97" s="178">
        <f>S95</f>
        <v>0.18341162306392852</v>
      </c>
      <c r="T97" s="174">
        <f t="shared" si="41"/>
        <v>39228.86526644071</v>
      </c>
      <c r="U97" s="237">
        <f t="shared" si="42"/>
        <v>0.3998864960901194</v>
      </c>
      <c r="V97" s="237">
        <f>V95</f>
        <v>0.515</v>
      </c>
      <c r="W97" s="245">
        <f t="shared" si="55"/>
        <v>0.7764786331846978</v>
      </c>
      <c r="X97" s="246" t="str">
        <f t="shared" si="56"/>
        <v>P &gt; puissance disponible</v>
      </c>
    </row>
    <row r="98" spans="1:24" s="166" customFormat="1" ht="12.75">
      <c r="A98" s="83"/>
      <c r="B98" s="182">
        <v>3500</v>
      </c>
      <c r="C98" s="168">
        <f t="shared" si="44"/>
        <v>14.546875</v>
      </c>
      <c r="D98" s="244">
        <f t="shared" si="54"/>
        <v>47859.21875</v>
      </c>
      <c r="E98" s="170">
        <f t="shared" si="33"/>
        <v>0.46511627906976744</v>
      </c>
      <c r="F98" s="168">
        <f t="shared" si="34"/>
        <v>1627.906976744186</v>
      </c>
      <c r="G98" s="171">
        <f t="shared" si="35"/>
        <v>0.005507901926202582</v>
      </c>
      <c r="H98" s="171">
        <f t="shared" si="36"/>
        <v>8.966351972887924</v>
      </c>
      <c r="I98" s="183">
        <f t="shared" si="53"/>
        <v>17.429193899782142</v>
      </c>
      <c r="J98" s="173">
        <f t="shared" si="46"/>
        <v>7</v>
      </c>
      <c r="K98" s="168">
        <f t="shared" si="37"/>
        <v>2.4609374999999996</v>
      </c>
      <c r="L98" s="174">
        <f t="shared" si="38"/>
        <v>0.2566559436274511</v>
      </c>
      <c r="M98" s="184">
        <f t="shared" si="28"/>
        <v>12.95588769276774</v>
      </c>
      <c r="N98" s="175">
        <f t="shared" si="48"/>
        <v>18.91177538553548</v>
      </c>
      <c r="O98" s="175">
        <f t="shared" si="47"/>
        <v>91.70581153196426</v>
      </c>
      <c r="P98" s="185">
        <f t="shared" si="49"/>
        <v>7491.132650627256</v>
      </c>
      <c r="Q98" s="185">
        <f t="shared" si="50"/>
        <v>49929.03171554388</v>
      </c>
      <c r="R98" s="180">
        <f t="shared" si="51"/>
        <v>0.5402948964977177</v>
      </c>
      <c r="S98" s="178">
        <f t="shared" si="40"/>
        <v>0.18341162306392852</v>
      </c>
      <c r="T98" s="174">
        <f t="shared" si="41"/>
        <v>40843.28204225206</v>
      </c>
      <c r="U98" s="237">
        <f t="shared" si="42"/>
        <v>0.4163433439577172</v>
      </c>
      <c r="V98" s="237">
        <f t="shared" si="43"/>
        <v>0.515</v>
      </c>
      <c r="W98" s="245">
        <f t="shared" si="55"/>
        <v>0.8084336775878004</v>
      </c>
      <c r="X98" s="246" t="str">
        <f t="shared" si="56"/>
        <v>P &gt; puissance disponible</v>
      </c>
    </row>
    <row r="99" spans="1:24" s="166" customFormat="1" ht="13.5" thickBot="1">
      <c r="A99" s="83"/>
      <c r="B99" s="193">
        <v>3600</v>
      </c>
      <c r="C99" s="194">
        <f>C98</f>
        <v>14.546875</v>
      </c>
      <c r="D99" s="248">
        <f t="shared" si="54"/>
        <v>49226.625</v>
      </c>
      <c r="E99" s="196">
        <f>E98</f>
        <v>0.46511627906976744</v>
      </c>
      <c r="F99" s="194">
        <f t="shared" si="34"/>
        <v>1674.4186046511627</v>
      </c>
      <c r="G99" s="197">
        <f>G98</f>
        <v>0.005507901926202582</v>
      </c>
      <c r="H99" s="197">
        <f t="shared" si="36"/>
        <v>9.222533457827579</v>
      </c>
      <c r="I99" s="198">
        <f t="shared" si="53"/>
        <v>17.927170868347343</v>
      </c>
      <c r="J99" s="199">
        <f>J98</f>
        <v>7</v>
      </c>
      <c r="K99" s="194">
        <f t="shared" si="37"/>
        <v>2.4609374999999996</v>
      </c>
      <c r="L99" s="200">
        <f t="shared" si="38"/>
        <v>0.2689108455882353</v>
      </c>
      <c r="M99" s="201">
        <f t="shared" si="28"/>
        <v>13.106360191135282</v>
      </c>
      <c r="N99" s="202">
        <f t="shared" si="48"/>
        <v>19.212720382270565</v>
      </c>
      <c r="O99" s="202">
        <f t="shared" si="47"/>
        <v>91.70581153196426</v>
      </c>
      <c r="P99" s="203">
        <f t="shared" si="49"/>
        <v>7769.594086044578</v>
      </c>
      <c r="Q99" s="203">
        <f t="shared" si="50"/>
        <v>52386.44296219405</v>
      </c>
      <c r="R99" s="204">
        <f t="shared" si="51"/>
        <v>0.5340918376968286</v>
      </c>
      <c r="S99" s="205">
        <f t="shared" si="40"/>
        <v>0.18341162306392852</v>
      </c>
      <c r="T99" s="200">
        <f t="shared" si="41"/>
        <v>42361.51426093901</v>
      </c>
      <c r="U99" s="249">
        <f t="shared" si="42"/>
        <v>0.431819717236891</v>
      </c>
      <c r="V99" s="249">
        <f t="shared" si="43"/>
        <v>0.515</v>
      </c>
      <c r="W99" s="250">
        <f t="shared" si="55"/>
        <v>0.8384848878386233</v>
      </c>
      <c r="X99" s="246" t="str">
        <f t="shared" si="56"/>
        <v>P &gt; puissance disponible</v>
      </c>
    </row>
    <row r="100" spans="1:24" s="166" customFormat="1" ht="12.75">
      <c r="A100" s="83"/>
      <c r="B100" s="84"/>
      <c r="C100" s="85"/>
      <c r="D100" s="84"/>
      <c r="E100" s="86"/>
      <c r="F100" s="85"/>
      <c r="G100" s="130"/>
      <c r="H100" s="130"/>
      <c r="I100" s="85"/>
      <c r="J100" s="85"/>
      <c r="K100" s="85"/>
      <c r="L100" s="90"/>
      <c r="M100" s="85"/>
      <c r="N100" s="90"/>
      <c r="O100" s="90"/>
      <c r="P100" s="91"/>
      <c r="Q100" s="91"/>
      <c r="R100" s="90"/>
      <c r="S100" s="91"/>
      <c r="T100" s="90"/>
      <c r="U100" s="91"/>
      <c r="V100" s="90"/>
      <c r="W100" s="90"/>
      <c r="X100" s="91"/>
    </row>
    <row r="101" spans="1:24" s="181" customFormat="1" ht="12.75">
      <c r="A101" s="247"/>
      <c r="B101" s="209"/>
      <c r="C101" s="251"/>
      <c r="D101" s="209"/>
      <c r="E101" s="252"/>
      <c r="F101" s="247"/>
      <c r="G101" s="129"/>
      <c r="H101" s="247"/>
      <c r="I101" s="247"/>
      <c r="J101" s="247"/>
      <c r="K101" s="247"/>
      <c r="L101" s="90"/>
      <c r="M101" s="247"/>
      <c r="N101" s="120"/>
      <c r="O101" s="120"/>
      <c r="P101" s="247"/>
      <c r="Q101" s="112"/>
      <c r="R101" s="120"/>
      <c r="S101" s="112"/>
      <c r="T101" s="120"/>
      <c r="U101" s="112"/>
      <c r="V101" s="120"/>
      <c r="W101" s="120"/>
      <c r="X101" s="112"/>
    </row>
    <row r="102" spans="1:24" s="181" customFormat="1" ht="12.75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253"/>
      <c r="T102" s="254"/>
      <c r="U102" s="255"/>
      <c r="V102" s="133"/>
      <c r="W102" s="133"/>
      <c r="X102" s="133"/>
    </row>
    <row r="103" spans="1:24" s="181" customFormat="1" ht="12.75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253"/>
      <c r="T103" s="254"/>
      <c r="U103" s="255"/>
      <c r="V103" s="133"/>
      <c r="W103" s="133"/>
      <c r="X103" s="133"/>
    </row>
    <row r="104" spans="1:24" s="181" customFormat="1" ht="12.75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253"/>
      <c r="T104" s="254"/>
      <c r="U104" s="255"/>
      <c r="V104" s="133"/>
      <c r="W104" s="133"/>
      <c r="X104" s="133"/>
    </row>
    <row r="105" spans="1:27" s="181" customFormat="1" ht="13.5" thickBot="1">
      <c r="A105" s="247"/>
      <c r="B105" s="293" t="s">
        <v>105</v>
      </c>
      <c r="C105" s="252"/>
      <c r="D105" s="119">
        <v>0.94</v>
      </c>
      <c r="E105" s="252"/>
      <c r="F105" s="287" t="s">
        <v>111</v>
      </c>
      <c r="G105" s="288"/>
      <c r="H105" s="289"/>
      <c r="I105" s="289"/>
      <c r="J105" s="289"/>
      <c r="K105" s="289"/>
      <c r="L105" s="290"/>
      <c r="M105" s="289"/>
      <c r="N105" s="291"/>
      <c r="O105" s="291"/>
      <c r="P105" s="289"/>
      <c r="Q105" s="292"/>
      <c r="R105" s="291"/>
      <c r="S105" s="292"/>
      <c r="T105" s="291"/>
      <c r="U105" s="112"/>
      <c r="V105" s="120"/>
      <c r="W105" s="120"/>
      <c r="X105" s="112"/>
      <c r="Y105" s="174"/>
      <c r="Z105" s="174"/>
      <c r="AA105" s="184"/>
    </row>
    <row r="106" spans="1:27" s="181" customFormat="1" ht="13.5" thickBot="1">
      <c r="A106" s="133"/>
      <c r="B106" s="135" t="s">
        <v>8</v>
      </c>
      <c r="C106" s="136" t="s">
        <v>106</v>
      </c>
      <c r="D106" s="137" t="s">
        <v>107</v>
      </c>
      <c r="E106" s="256"/>
      <c r="F106" s="145" t="s">
        <v>108</v>
      </c>
      <c r="G106" s="256"/>
      <c r="H106" s="257" t="s">
        <v>109</v>
      </c>
      <c r="I106" s="184"/>
      <c r="Q106" s="133"/>
      <c r="R106" s="133"/>
      <c r="S106" s="253"/>
      <c r="T106" s="254"/>
      <c r="U106" s="255"/>
      <c r="V106" s="133"/>
      <c r="W106" s="133"/>
      <c r="X106" s="133"/>
      <c r="Y106" s="174"/>
      <c r="Z106" s="174"/>
      <c r="AA106" s="184"/>
    </row>
    <row r="107" spans="1:27" s="181" customFormat="1" ht="12.75">
      <c r="A107" s="133"/>
      <c r="B107" s="258">
        <v>1100</v>
      </c>
      <c r="C107" s="259">
        <f>D105</f>
        <v>0.94</v>
      </c>
      <c r="D107" s="260">
        <f>B74*C74</f>
        <v>16001.5625</v>
      </c>
      <c r="E107" s="164"/>
      <c r="F107" s="261">
        <f>D107*0.95</f>
        <v>15201.484375</v>
      </c>
      <c r="G107" s="262"/>
      <c r="H107" s="263">
        <f aca="true" t="shared" si="57" ref="H107:H132">C74*B74</f>
        <v>16001.5625</v>
      </c>
      <c r="I107" s="184"/>
      <c r="Q107" s="133"/>
      <c r="R107" s="133"/>
      <c r="S107" s="253"/>
      <c r="T107" s="254"/>
      <c r="U107" s="255"/>
      <c r="V107" s="133"/>
      <c r="W107" s="133"/>
      <c r="X107" s="133"/>
      <c r="Y107" s="174"/>
      <c r="Z107" s="174"/>
      <c r="AA107" s="184"/>
    </row>
    <row r="108" spans="1:27" s="181" customFormat="1" ht="12.75">
      <c r="A108" s="133"/>
      <c r="B108" s="264">
        <v>1200</v>
      </c>
      <c r="C108" s="265">
        <f>C107</f>
        <v>0.94</v>
      </c>
      <c r="D108" s="266">
        <f>B75*C75</f>
        <v>17456.25</v>
      </c>
      <c r="E108" s="267"/>
      <c r="F108" s="268">
        <f aca="true" t="shared" si="58" ref="F108:F124">D108*0.95</f>
        <v>16583.4375</v>
      </c>
      <c r="H108" s="269">
        <f t="shared" si="57"/>
        <v>17456.25</v>
      </c>
      <c r="I108" s="184"/>
      <c r="Q108" s="133"/>
      <c r="R108" s="133"/>
      <c r="S108" s="253"/>
      <c r="T108" s="254"/>
      <c r="U108" s="255"/>
      <c r="V108" s="133"/>
      <c r="W108" s="133"/>
      <c r="X108" s="133"/>
      <c r="Y108" s="174"/>
      <c r="Z108" s="174"/>
      <c r="AA108" s="184"/>
    </row>
    <row r="109" spans="1:27" s="181" customFormat="1" ht="12.75">
      <c r="A109" s="133"/>
      <c r="B109" s="264">
        <v>1300</v>
      </c>
      <c r="C109" s="265">
        <f aca="true" t="shared" si="59" ref="C109:C132">C108</f>
        <v>0.94</v>
      </c>
      <c r="D109" s="266">
        <f aca="true" t="shared" si="60" ref="D109:D132">B76*C76</f>
        <v>18910.9375</v>
      </c>
      <c r="E109" s="267"/>
      <c r="F109" s="268">
        <f t="shared" si="58"/>
        <v>17965.390625</v>
      </c>
      <c r="H109" s="269">
        <f t="shared" si="57"/>
        <v>18910.9375</v>
      </c>
      <c r="I109" s="184"/>
      <c r="Q109" s="133"/>
      <c r="R109" s="133"/>
      <c r="S109" s="253"/>
      <c r="T109" s="254"/>
      <c r="U109" s="255"/>
      <c r="V109" s="133"/>
      <c r="W109" s="133"/>
      <c r="X109" s="133"/>
      <c r="Y109" s="174"/>
      <c r="Z109" s="174"/>
      <c r="AA109" s="184"/>
    </row>
    <row r="110" spans="1:27" s="181" customFormat="1" ht="12.75">
      <c r="A110" s="133"/>
      <c r="B110" s="264">
        <v>1400</v>
      </c>
      <c r="C110" s="265">
        <f t="shared" si="59"/>
        <v>0.94</v>
      </c>
      <c r="D110" s="266">
        <f t="shared" si="60"/>
        <v>20365.625</v>
      </c>
      <c r="E110" s="134"/>
      <c r="F110" s="268">
        <f t="shared" si="58"/>
        <v>19347.34375</v>
      </c>
      <c r="H110" s="269">
        <f t="shared" si="57"/>
        <v>20365.625</v>
      </c>
      <c r="I110" s="184"/>
      <c r="M110" s="184"/>
      <c r="Q110" s="133"/>
      <c r="R110" s="133"/>
      <c r="S110" s="253"/>
      <c r="T110" s="254"/>
      <c r="U110" s="255"/>
      <c r="V110" s="133"/>
      <c r="W110" s="133"/>
      <c r="X110" s="133"/>
      <c r="Y110" s="174"/>
      <c r="Z110" s="174"/>
      <c r="AA110" s="184"/>
    </row>
    <row r="111" spans="1:27" s="181" customFormat="1" ht="12.75">
      <c r="A111" s="133"/>
      <c r="B111" s="264">
        <v>1500</v>
      </c>
      <c r="C111" s="265">
        <f t="shared" si="59"/>
        <v>0.94</v>
      </c>
      <c r="D111" s="266">
        <f t="shared" si="60"/>
        <v>21820.3125</v>
      </c>
      <c r="E111" s="134"/>
      <c r="F111" s="268">
        <f t="shared" si="58"/>
        <v>20729.296875</v>
      </c>
      <c r="H111" s="269">
        <f t="shared" si="57"/>
        <v>21820.3125</v>
      </c>
      <c r="I111" s="184"/>
      <c r="Q111" s="133"/>
      <c r="R111" s="133"/>
      <c r="S111" s="253"/>
      <c r="T111" s="254"/>
      <c r="U111" s="255"/>
      <c r="V111" s="133"/>
      <c r="W111" s="133"/>
      <c r="X111" s="133"/>
      <c r="Y111" s="174"/>
      <c r="Z111" s="174"/>
      <c r="AA111" s="184"/>
    </row>
    <row r="112" spans="1:27" s="181" customFormat="1" ht="12.75">
      <c r="A112" s="133"/>
      <c r="B112" s="264">
        <v>1600</v>
      </c>
      <c r="C112" s="265">
        <f t="shared" si="59"/>
        <v>0.94</v>
      </c>
      <c r="D112" s="266">
        <f t="shared" si="60"/>
        <v>23275</v>
      </c>
      <c r="E112" s="134"/>
      <c r="F112" s="268">
        <f t="shared" si="58"/>
        <v>22111.25</v>
      </c>
      <c r="H112" s="269">
        <f t="shared" si="57"/>
        <v>23275</v>
      </c>
      <c r="I112" s="184"/>
      <c r="Q112" s="133"/>
      <c r="R112" s="133"/>
      <c r="S112" s="253"/>
      <c r="T112" s="254"/>
      <c r="U112" s="255"/>
      <c r="V112" s="133"/>
      <c r="W112" s="133"/>
      <c r="X112" s="133"/>
      <c r="Y112" s="174"/>
      <c r="Z112" s="174"/>
      <c r="AA112" s="184"/>
    </row>
    <row r="113" spans="1:27" s="181" customFormat="1" ht="12.75">
      <c r="A113" s="133"/>
      <c r="B113" s="270">
        <v>1700</v>
      </c>
      <c r="C113" s="265">
        <f t="shared" si="59"/>
        <v>0.94</v>
      </c>
      <c r="D113" s="266">
        <f t="shared" si="60"/>
        <v>24729.6875</v>
      </c>
      <c r="E113" s="134"/>
      <c r="F113" s="268">
        <f t="shared" si="58"/>
        <v>23493.203125</v>
      </c>
      <c r="H113" s="269">
        <f t="shared" si="57"/>
        <v>24729.6875</v>
      </c>
      <c r="I113" s="184"/>
      <c r="J113" s="133"/>
      <c r="K113" s="133"/>
      <c r="L113" s="133"/>
      <c r="M113" s="133"/>
      <c r="N113" s="133"/>
      <c r="O113" s="133"/>
      <c r="P113" s="133"/>
      <c r="Q113" s="133"/>
      <c r="R113" s="133"/>
      <c r="S113" s="253"/>
      <c r="T113" s="254"/>
      <c r="U113" s="255"/>
      <c r="V113" s="133"/>
      <c r="W113" s="133"/>
      <c r="X113" s="133"/>
      <c r="Y113" s="174"/>
      <c r="Z113" s="174"/>
      <c r="AA113" s="184"/>
    </row>
    <row r="114" spans="1:32" s="181" customFormat="1" ht="12.75">
      <c r="A114" s="133"/>
      <c r="B114" s="271">
        <v>1800</v>
      </c>
      <c r="C114" s="265">
        <f t="shared" si="59"/>
        <v>0.94</v>
      </c>
      <c r="D114" s="266">
        <f t="shared" si="60"/>
        <v>26184.375</v>
      </c>
      <c r="E114" s="134"/>
      <c r="F114" s="268">
        <f t="shared" si="58"/>
        <v>24875.15625</v>
      </c>
      <c r="H114" s="269">
        <f t="shared" si="57"/>
        <v>26184.375</v>
      </c>
      <c r="I114" s="184"/>
      <c r="J114" s="133"/>
      <c r="K114" s="133"/>
      <c r="L114" s="133"/>
      <c r="M114" s="133"/>
      <c r="N114" s="133"/>
      <c r="O114" s="133"/>
      <c r="P114" s="133"/>
      <c r="Q114" s="133"/>
      <c r="R114" s="133"/>
      <c r="S114" s="253"/>
      <c r="T114" s="254"/>
      <c r="U114" s="255"/>
      <c r="V114" s="133"/>
      <c r="W114" s="133"/>
      <c r="X114" s="133"/>
      <c r="Y114" s="174"/>
      <c r="Z114" s="174"/>
      <c r="AA114" s="184"/>
      <c r="AF114" s="272"/>
    </row>
    <row r="115" spans="1:27" s="181" customFormat="1" ht="12.75">
      <c r="A115" s="133"/>
      <c r="B115" s="271">
        <v>1900</v>
      </c>
      <c r="C115" s="265">
        <f t="shared" si="59"/>
        <v>0.94</v>
      </c>
      <c r="D115" s="266">
        <f t="shared" si="60"/>
        <v>27639.0625</v>
      </c>
      <c r="E115" s="134"/>
      <c r="F115" s="268">
        <f t="shared" si="58"/>
        <v>26257.109375</v>
      </c>
      <c r="H115" s="269">
        <f t="shared" si="57"/>
        <v>27639.0625</v>
      </c>
      <c r="I115" s="184"/>
      <c r="J115" s="133"/>
      <c r="K115" s="133"/>
      <c r="L115" s="133"/>
      <c r="M115" s="133"/>
      <c r="N115" s="133"/>
      <c r="O115" s="133"/>
      <c r="P115" s="133"/>
      <c r="Q115" s="133"/>
      <c r="R115" s="133"/>
      <c r="S115" s="253"/>
      <c r="T115" s="254"/>
      <c r="U115" s="255"/>
      <c r="V115" s="133"/>
      <c r="W115" s="133"/>
      <c r="X115" s="133"/>
      <c r="Y115" s="174"/>
      <c r="Z115" s="174"/>
      <c r="AA115" s="184"/>
    </row>
    <row r="116" spans="1:27" s="181" customFormat="1" ht="12.75">
      <c r="A116" s="133"/>
      <c r="B116" s="270">
        <v>2000</v>
      </c>
      <c r="C116" s="265">
        <f t="shared" si="59"/>
        <v>0.94</v>
      </c>
      <c r="D116" s="266">
        <f t="shared" si="60"/>
        <v>29093.75</v>
      </c>
      <c r="E116" s="134"/>
      <c r="F116" s="268">
        <f t="shared" si="58"/>
        <v>27639.0625</v>
      </c>
      <c r="H116" s="269">
        <f t="shared" si="57"/>
        <v>29093.75</v>
      </c>
      <c r="I116" s="184"/>
      <c r="J116" s="133"/>
      <c r="K116" s="133"/>
      <c r="L116" s="133"/>
      <c r="M116" s="133"/>
      <c r="N116" s="133"/>
      <c r="O116" s="133"/>
      <c r="P116" s="133"/>
      <c r="Q116" s="133"/>
      <c r="R116" s="133"/>
      <c r="S116" s="253"/>
      <c r="T116" s="254"/>
      <c r="U116" s="255"/>
      <c r="V116" s="133"/>
      <c r="W116" s="133"/>
      <c r="X116" s="133"/>
      <c r="Y116" s="174"/>
      <c r="Z116" s="174"/>
      <c r="AA116" s="184"/>
    </row>
    <row r="117" spans="1:27" s="181" customFormat="1" ht="12.75">
      <c r="A117" s="133"/>
      <c r="B117" s="270">
        <v>2100</v>
      </c>
      <c r="C117" s="265">
        <f t="shared" si="59"/>
        <v>0.94</v>
      </c>
      <c r="D117" s="266">
        <f t="shared" si="60"/>
        <v>30548.4375</v>
      </c>
      <c r="E117" s="134"/>
      <c r="F117" s="268">
        <f t="shared" si="58"/>
        <v>29021.015625</v>
      </c>
      <c r="H117" s="269">
        <f t="shared" si="57"/>
        <v>30548.4375</v>
      </c>
      <c r="I117" s="184"/>
      <c r="J117" s="133"/>
      <c r="K117" s="133"/>
      <c r="L117" s="133"/>
      <c r="M117" s="133"/>
      <c r="N117" s="133"/>
      <c r="O117" s="133"/>
      <c r="P117" s="133"/>
      <c r="Q117" s="133"/>
      <c r="R117" s="133"/>
      <c r="S117" s="253"/>
      <c r="T117" s="254"/>
      <c r="U117" s="255"/>
      <c r="V117" s="133"/>
      <c r="W117" s="133"/>
      <c r="X117" s="133"/>
      <c r="Y117" s="174"/>
      <c r="Z117" s="174"/>
      <c r="AA117" s="184"/>
    </row>
    <row r="118" spans="1:27" s="181" customFormat="1" ht="12.75">
      <c r="A118" s="133"/>
      <c r="B118" s="270">
        <v>2200</v>
      </c>
      <c r="C118" s="265">
        <f t="shared" si="59"/>
        <v>0.94</v>
      </c>
      <c r="D118" s="266">
        <f t="shared" si="60"/>
        <v>32003.125</v>
      </c>
      <c r="E118" s="134"/>
      <c r="F118" s="268">
        <f t="shared" si="58"/>
        <v>30402.96875</v>
      </c>
      <c r="H118" s="269">
        <f t="shared" si="57"/>
        <v>32003.125</v>
      </c>
      <c r="I118" s="184"/>
      <c r="J118" s="133"/>
      <c r="K118" s="133"/>
      <c r="L118" s="133"/>
      <c r="M118" s="133"/>
      <c r="N118" s="133"/>
      <c r="O118" s="133"/>
      <c r="P118" s="133"/>
      <c r="Q118" s="133"/>
      <c r="R118" s="133"/>
      <c r="S118" s="253"/>
      <c r="T118" s="254"/>
      <c r="U118" s="255"/>
      <c r="V118" s="133"/>
      <c r="W118" s="133"/>
      <c r="X118" s="133"/>
      <c r="Y118" s="174"/>
      <c r="Z118" s="174"/>
      <c r="AA118" s="184"/>
    </row>
    <row r="119" spans="1:27" s="181" customFormat="1" ht="12.75">
      <c r="A119" s="133"/>
      <c r="B119" s="270">
        <v>2300</v>
      </c>
      <c r="C119" s="265">
        <f t="shared" si="59"/>
        <v>0.94</v>
      </c>
      <c r="D119" s="266">
        <f t="shared" si="60"/>
        <v>33457.8125</v>
      </c>
      <c r="E119" s="134"/>
      <c r="F119" s="268">
        <f t="shared" si="58"/>
        <v>31784.921875</v>
      </c>
      <c r="H119" s="269">
        <f t="shared" si="57"/>
        <v>33457.8125</v>
      </c>
      <c r="I119" s="184"/>
      <c r="J119" s="133"/>
      <c r="K119" s="133"/>
      <c r="L119" s="133"/>
      <c r="M119" s="133"/>
      <c r="N119" s="133"/>
      <c r="O119" s="133"/>
      <c r="P119" s="133"/>
      <c r="Q119" s="133"/>
      <c r="R119" s="133"/>
      <c r="S119" s="253"/>
      <c r="T119" s="254"/>
      <c r="U119" s="255"/>
      <c r="V119" s="133"/>
      <c r="W119" s="133"/>
      <c r="X119" s="133"/>
      <c r="Y119" s="174"/>
      <c r="Z119" s="174"/>
      <c r="AA119" s="184"/>
    </row>
    <row r="120" spans="1:27" s="181" customFormat="1" ht="12.75">
      <c r="A120" s="133"/>
      <c r="B120" s="270">
        <v>2400</v>
      </c>
      <c r="C120" s="265">
        <f t="shared" si="59"/>
        <v>0.94</v>
      </c>
      <c r="D120" s="266">
        <f t="shared" si="60"/>
        <v>34912.5</v>
      </c>
      <c r="E120" s="134"/>
      <c r="F120" s="268">
        <f t="shared" si="58"/>
        <v>33166.875</v>
      </c>
      <c r="H120" s="269">
        <f t="shared" si="57"/>
        <v>34912.5</v>
      </c>
      <c r="I120" s="184"/>
      <c r="J120" s="133"/>
      <c r="K120" s="133"/>
      <c r="L120" s="133"/>
      <c r="M120" s="133"/>
      <c r="N120" s="133"/>
      <c r="O120" s="133"/>
      <c r="P120" s="133"/>
      <c r="Q120" s="133"/>
      <c r="R120" s="133"/>
      <c r="S120" s="253"/>
      <c r="T120" s="254"/>
      <c r="U120" s="255"/>
      <c r="V120" s="133"/>
      <c r="W120" s="133"/>
      <c r="X120" s="133"/>
      <c r="Y120" s="174"/>
      <c r="Z120" s="174"/>
      <c r="AA120" s="184"/>
    </row>
    <row r="121" spans="1:35" s="83" customFormat="1" ht="12.75">
      <c r="A121" s="133"/>
      <c r="B121" s="191">
        <v>2500</v>
      </c>
      <c r="C121" s="265">
        <f t="shared" si="59"/>
        <v>0.94</v>
      </c>
      <c r="D121" s="266">
        <f t="shared" si="60"/>
        <v>36367.1875</v>
      </c>
      <c r="E121" s="134"/>
      <c r="F121" s="268">
        <f t="shared" si="58"/>
        <v>34548.828125</v>
      </c>
      <c r="G121" s="181"/>
      <c r="H121" s="269">
        <f t="shared" si="57"/>
        <v>36367.1875</v>
      </c>
      <c r="J121" s="133"/>
      <c r="K121" s="133"/>
      <c r="L121" s="133"/>
      <c r="M121" s="133"/>
      <c r="N121" s="133"/>
      <c r="O121" s="133"/>
      <c r="P121" s="133"/>
      <c r="Q121" s="133"/>
      <c r="R121" s="133"/>
      <c r="S121" s="253"/>
      <c r="T121" s="254"/>
      <c r="U121" s="255"/>
      <c r="V121" s="133"/>
      <c r="W121" s="133"/>
      <c r="X121" s="133"/>
      <c r="Y121" s="90"/>
      <c r="Z121" s="90"/>
      <c r="AA121" s="85"/>
      <c r="AB121" s="91"/>
      <c r="AC121" s="91"/>
      <c r="AD121" s="91"/>
      <c r="AE121" s="91"/>
      <c r="AF121" s="91"/>
      <c r="AG121" s="91"/>
      <c r="AH121" s="91"/>
      <c r="AI121" s="91"/>
    </row>
    <row r="122" spans="2:35" s="181" customFormat="1" ht="12.75">
      <c r="B122" s="191">
        <v>2600</v>
      </c>
      <c r="C122" s="265">
        <f t="shared" si="59"/>
        <v>0.94</v>
      </c>
      <c r="D122" s="266">
        <f t="shared" si="60"/>
        <v>37821.875</v>
      </c>
      <c r="E122" s="273"/>
      <c r="F122" s="268">
        <f t="shared" si="58"/>
        <v>35930.78125</v>
      </c>
      <c r="G122" s="274"/>
      <c r="H122" s="269">
        <f t="shared" si="57"/>
        <v>37821.875</v>
      </c>
      <c r="I122" s="184"/>
      <c r="J122" s="184"/>
      <c r="K122" s="184"/>
      <c r="L122" s="174"/>
      <c r="M122" s="184"/>
      <c r="N122" s="174"/>
      <c r="O122" s="174"/>
      <c r="P122" s="185"/>
      <c r="Q122" s="185"/>
      <c r="R122" s="174"/>
      <c r="S122" s="185"/>
      <c r="T122" s="174"/>
      <c r="U122" s="91"/>
      <c r="V122" s="174"/>
      <c r="W122" s="174"/>
      <c r="X122" s="185"/>
      <c r="Y122" s="174"/>
      <c r="Z122" s="174"/>
      <c r="AA122" s="184"/>
      <c r="AB122" s="185"/>
      <c r="AC122" s="185"/>
      <c r="AD122" s="185"/>
      <c r="AE122" s="185"/>
      <c r="AF122" s="185"/>
      <c r="AG122" s="185"/>
      <c r="AH122" s="185"/>
      <c r="AI122" s="185"/>
    </row>
    <row r="123" spans="2:35" s="181" customFormat="1" ht="12.75">
      <c r="B123" s="191">
        <v>2700</v>
      </c>
      <c r="C123" s="265">
        <f t="shared" si="59"/>
        <v>0.94</v>
      </c>
      <c r="D123" s="266">
        <f t="shared" si="60"/>
        <v>39276.5625</v>
      </c>
      <c r="E123" s="273"/>
      <c r="F123" s="268">
        <f t="shared" si="58"/>
        <v>37312.734375</v>
      </c>
      <c r="G123" s="274"/>
      <c r="H123" s="269">
        <f t="shared" si="57"/>
        <v>39276.5625</v>
      </c>
      <c r="I123" s="184"/>
      <c r="J123" s="184"/>
      <c r="K123" s="184"/>
      <c r="L123" s="174"/>
      <c r="M123" s="184"/>
      <c r="N123" s="174"/>
      <c r="O123" s="174"/>
      <c r="P123" s="185"/>
      <c r="Q123" s="185"/>
      <c r="R123" s="174"/>
      <c r="S123" s="185"/>
      <c r="T123" s="174"/>
      <c r="U123" s="91"/>
      <c r="V123" s="174"/>
      <c r="W123" s="174"/>
      <c r="X123" s="185"/>
      <c r="Y123" s="174"/>
      <c r="Z123" s="174"/>
      <c r="AA123" s="184"/>
      <c r="AB123" s="185"/>
      <c r="AC123" s="185"/>
      <c r="AD123" s="185"/>
      <c r="AE123" s="185"/>
      <c r="AF123" s="185"/>
      <c r="AG123" s="185"/>
      <c r="AH123" s="185"/>
      <c r="AI123" s="185"/>
    </row>
    <row r="124" spans="2:35" s="181" customFormat="1" ht="12.75">
      <c r="B124" s="191">
        <v>2800</v>
      </c>
      <c r="C124" s="265">
        <f t="shared" si="59"/>
        <v>0.94</v>
      </c>
      <c r="D124" s="266">
        <f t="shared" si="60"/>
        <v>40731.25</v>
      </c>
      <c r="E124" s="273"/>
      <c r="F124" s="268">
        <f t="shared" si="58"/>
        <v>38694.6875</v>
      </c>
      <c r="G124" s="274"/>
      <c r="H124" s="269">
        <f t="shared" si="57"/>
        <v>40731.25</v>
      </c>
      <c r="I124" s="184"/>
      <c r="J124" s="184"/>
      <c r="K124" s="184"/>
      <c r="L124" s="174"/>
      <c r="M124" s="184"/>
      <c r="N124" s="174"/>
      <c r="O124" s="174"/>
      <c r="P124" s="185"/>
      <c r="Q124" s="185"/>
      <c r="R124" s="174"/>
      <c r="S124" s="185"/>
      <c r="T124" s="174"/>
      <c r="U124" s="91"/>
      <c r="V124" s="174"/>
      <c r="W124" s="174"/>
      <c r="X124" s="185"/>
      <c r="Y124" s="174"/>
      <c r="Z124" s="174"/>
      <c r="AA124" s="184"/>
      <c r="AB124" s="185"/>
      <c r="AC124" s="185"/>
      <c r="AD124" s="185"/>
      <c r="AE124" s="185"/>
      <c r="AF124" s="185"/>
      <c r="AG124" s="185"/>
      <c r="AH124" s="185"/>
      <c r="AI124" s="185"/>
    </row>
    <row r="125" spans="2:35" s="181" customFormat="1" ht="12.75">
      <c r="B125" s="191">
        <v>2900</v>
      </c>
      <c r="C125" s="265">
        <f>C119</f>
        <v>0.94</v>
      </c>
      <c r="D125" s="266">
        <f t="shared" si="60"/>
        <v>42185.9375</v>
      </c>
      <c r="E125" s="273"/>
      <c r="F125" s="268">
        <f aca="true" t="shared" si="61" ref="F125:F132">D125*0.95</f>
        <v>40076.640625</v>
      </c>
      <c r="G125" s="274"/>
      <c r="H125" s="269">
        <f t="shared" si="57"/>
        <v>42185.9375</v>
      </c>
      <c r="I125" s="184"/>
      <c r="J125" s="184"/>
      <c r="K125" s="184"/>
      <c r="L125" s="174"/>
      <c r="M125" s="184"/>
      <c r="N125" s="174"/>
      <c r="O125" s="174"/>
      <c r="P125" s="185"/>
      <c r="Q125" s="185"/>
      <c r="R125" s="174"/>
      <c r="S125" s="185"/>
      <c r="T125" s="174"/>
      <c r="U125" s="91"/>
      <c r="V125" s="174"/>
      <c r="W125" s="174"/>
      <c r="X125" s="185"/>
      <c r="Y125" s="174"/>
      <c r="Z125" s="174"/>
      <c r="AA125" s="184"/>
      <c r="AB125" s="185"/>
      <c r="AC125" s="185"/>
      <c r="AD125" s="185"/>
      <c r="AE125" s="185"/>
      <c r="AF125" s="185"/>
      <c r="AG125" s="185"/>
      <c r="AH125" s="185"/>
      <c r="AI125" s="185"/>
    </row>
    <row r="126" spans="2:35" s="181" customFormat="1" ht="12.75">
      <c r="B126" s="191">
        <v>3000</v>
      </c>
      <c r="C126" s="265">
        <f>C120</f>
        <v>0.94</v>
      </c>
      <c r="D126" s="266">
        <f t="shared" si="60"/>
        <v>43640.625</v>
      </c>
      <c r="E126" s="273"/>
      <c r="F126" s="268">
        <f t="shared" si="61"/>
        <v>41458.59375</v>
      </c>
      <c r="G126" s="274"/>
      <c r="H126" s="269">
        <f t="shared" si="57"/>
        <v>43640.625</v>
      </c>
      <c r="I126" s="184"/>
      <c r="J126" s="184"/>
      <c r="K126" s="184"/>
      <c r="L126" s="174"/>
      <c r="M126" s="184"/>
      <c r="N126" s="174"/>
      <c r="O126" s="174"/>
      <c r="P126" s="185"/>
      <c r="Q126" s="185"/>
      <c r="R126" s="174"/>
      <c r="S126" s="185"/>
      <c r="T126" s="174"/>
      <c r="U126" s="91"/>
      <c r="V126" s="174"/>
      <c r="W126" s="174"/>
      <c r="X126" s="185"/>
      <c r="Y126" s="174"/>
      <c r="Z126" s="174"/>
      <c r="AA126" s="184"/>
      <c r="AB126" s="185"/>
      <c r="AC126" s="185"/>
      <c r="AD126" s="185"/>
      <c r="AE126" s="185"/>
      <c r="AF126" s="185"/>
      <c r="AG126" s="185"/>
      <c r="AH126" s="185"/>
      <c r="AI126" s="185"/>
    </row>
    <row r="127" spans="2:35" s="181" customFormat="1" ht="12.75">
      <c r="B127" s="191">
        <v>3100</v>
      </c>
      <c r="C127" s="265">
        <f>C121</f>
        <v>0.94</v>
      </c>
      <c r="D127" s="266">
        <f t="shared" si="60"/>
        <v>45095.3125</v>
      </c>
      <c r="E127" s="273"/>
      <c r="F127" s="268">
        <f t="shared" si="61"/>
        <v>42840.546875</v>
      </c>
      <c r="G127" s="274"/>
      <c r="H127" s="269">
        <f t="shared" si="57"/>
        <v>45095.3125</v>
      </c>
      <c r="I127" s="184"/>
      <c r="J127" s="184"/>
      <c r="K127" s="184"/>
      <c r="L127" s="174"/>
      <c r="M127" s="184"/>
      <c r="N127" s="174"/>
      <c r="O127" s="174"/>
      <c r="P127" s="185"/>
      <c r="Q127" s="185"/>
      <c r="R127" s="174"/>
      <c r="S127" s="185"/>
      <c r="T127" s="174"/>
      <c r="U127" s="91"/>
      <c r="V127" s="174"/>
      <c r="W127" s="174"/>
      <c r="X127" s="185"/>
      <c r="Y127" s="174"/>
      <c r="Z127" s="174"/>
      <c r="AA127" s="184"/>
      <c r="AB127" s="185"/>
      <c r="AC127" s="185"/>
      <c r="AD127" s="185"/>
      <c r="AE127" s="185"/>
      <c r="AF127" s="185"/>
      <c r="AG127" s="185"/>
      <c r="AH127" s="185"/>
      <c r="AI127" s="185"/>
    </row>
    <row r="128" spans="2:35" s="181" customFormat="1" ht="12.75">
      <c r="B128" s="191">
        <v>3200</v>
      </c>
      <c r="C128" s="265">
        <f>C122</f>
        <v>0.94</v>
      </c>
      <c r="D128" s="266">
        <f t="shared" si="60"/>
        <v>46550</v>
      </c>
      <c r="E128" s="273"/>
      <c r="F128" s="268">
        <f t="shared" si="61"/>
        <v>44222.5</v>
      </c>
      <c r="G128" s="274"/>
      <c r="H128" s="269">
        <f t="shared" si="57"/>
        <v>46550</v>
      </c>
      <c r="I128" s="184"/>
      <c r="J128" s="184"/>
      <c r="K128" s="184"/>
      <c r="L128" s="174"/>
      <c r="M128" s="184"/>
      <c r="N128" s="174"/>
      <c r="O128" s="174"/>
      <c r="P128" s="185"/>
      <c r="Q128" s="185"/>
      <c r="R128" s="174"/>
      <c r="S128" s="185"/>
      <c r="T128" s="174"/>
      <c r="U128" s="91"/>
      <c r="V128" s="174"/>
      <c r="W128" s="174"/>
      <c r="X128" s="185"/>
      <c r="Y128" s="174"/>
      <c r="Z128" s="174"/>
      <c r="AA128" s="184"/>
      <c r="AB128" s="185"/>
      <c r="AC128" s="185"/>
      <c r="AD128" s="185"/>
      <c r="AE128" s="185"/>
      <c r="AF128" s="185"/>
      <c r="AG128" s="185"/>
      <c r="AH128" s="185"/>
      <c r="AI128" s="185"/>
    </row>
    <row r="129" spans="2:35" s="181" customFormat="1" ht="12.75">
      <c r="B129" s="191">
        <v>3300</v>
      </c>
      <c r="C129" s="265">
        <f>C123</f>
        <v>0.94</v>
      </c>
      <c r="D129" s="266">
        <f t="shared" si="60"/>
        <v>48004.6875</v>
      </c>
      <c r="E129" s="273"/>
      <c r="F129" s="268">
        <f t="shared" si="61"/>
        <v>45604.453125</v>
      </c>
      <c r="G129" s="274"/>
      <c r="H129" s="269">
        <f t="shared" si="57"/>
        <v>48004.6875</v>
      </c>
      <c r="I129" s="184"/>
      <c r="J129" s="184"/>
      <c r="K129" s="184"/>
      <c r="L129" s="174"/>
      <c r="M129" s="184"/>
      <c r="N129" s="174"/>
      <c r="O129" s="174"/>
      <c r="P129" s="185"/>
      <c r="Q129" s="185"/>
      <c r="R129" s="174"/>
      <c r="S129" s="185"/>
      <c r="T129" s="174"/>
      <c r="U129" s="91"/>
      <c r="V129" s="174"/>
      <c r="W129" s="174"/>
      <c r="X129" s="185"/>
      <c r="Y129" s="174"/>
      <c r="Z129" s="174"/>
      <c r="AA129" s="184"/>
      <c r="AB129" s="185"/>
      <c r="AC129" s="185"/>
      <c r="AD129" s="185"/>
      <c r="AE129" s="185"/>
      <c r="AF129" s="185"/>
      <c r="AG129" s="185"/>
      <c r="AH129" s="185"/>
      <c r="AI129" s="185"/>
    </row>
    <row r="130" spans="2:35" s="181" customFormat="1" ht="12.75">
      <c r="B130" s="191">
        <v>3400</v>
      </c>
      <c r="C130" s="265">
        <f>C123</f>
        <v>0.94</v>
      </c>
      <c r="D130" s="266">
        <f t="shared" si="60"/>
        <v>49459.375</v>
      </c>
      <c r="E130" s="273"/>
      <c r="F130" s="268">
        <f t="shared" si="61"/>
        <v>46986.40625</v>
      </c>
      <c r="G130" s="274"/>
      <c r="H130" s="269">
        <f t="shared" si="57"/>
        <v>49459.375</v>
      </c>
      <c r="I130" s="184"/>
      <c r="J130" s="184"/>
      <c r="K130" s="184"/>
      <c r="L130" s="174"/>
      <c r="M130" s="184"/>
      <c r="N130" s="174"/>
      <c r="O130" s="174"/>
      <c r="P130" s="185"/>
      <c r="Q130" s="185"/>
      <c r="R130" s="174"/>
      <c r="S130" s="185"/>
      <c r="T130" s="174"/>
      <c r="U130" s="91"/>
      <c r="V130" s="174"/>
      <c r="W130" s="174"/>
      <c r="X130" s="185"/>
      <c r="Y130" s="174"/>
      <c r="Z130" s="174"/>
      <c r="AA130" s="184"/>
      <c r="AB130" s="185"/>
      <c r="AC130" s="185"/>
      <c r="AD130" s="185"/>
      <c r="AE130" s="185"/>
      <c r="AF130" s="185"/>
      <c r="AG130" s="185"/>
      <c r="AH130" s="185"/>
      <c r="AI130" s="185"/>
    </row>
    <row r="131" spans="2:35" s="181" customFormat="1" ht="12.75">
      <c r="B131" s="191">
        <v>3500</v>
      </c>
      <c r="C131" s="265">
        <f>C124</f>
        <v>0.94</v>
      </c>
      <c r="D131" s="266">
        <f t="shared" si="60"/>
        <v>50914.0625</v>
      </c>
      <c r="E131" s="273"/>
      <c r="F131" s="268">
        <f t="shared" si="61"/>
        <v>48368.359375</v>
      </c>
      <c r="G131" s="274"/>
      <c r="H131" s="269">
        <f t="shared" si="57"/>
        <v>50914.0625</v>
      </c>
      <c r="I131" s="184"/>
      <c r="J131" s="184"/>
      <c r="K131" s="184"/>
      <c r="L131" s="174"/>
      <c r="M131" s="184"/>
      <c r="N131" s="174"/>
      <c r="O131" s="174"/>
      <c r="P131" s="185"/>
      <c r="Q131" s="185"/>
      <c r="R131" s="174"/>
      <c r="S131" s="185"/>
      <c r="T131" s="174"/>
      <c r="U131" s="91"/>
      <c r="V131" s="174"/>
      <c r="W131" s="174"/>
      <c r="X131" s="185"/>
      <c r="Y131" s="174"/>
      <c r="Z131" s="174"/>
      <c r="AA131" s="184"/>
      <c r="AB131" s="185"/>
      <c r="AC131" s="185"/>
      <c r="AD131" s="185"/>
      <c r="AE131" s="185"/>
      <c r="AF131" s="185"/>
      <c r="AG131" s="185"/>
      <c r="AH131" s="185"/>
      <c r="AI131" s="185"/>
    </row>
    <row r="132" spans="2:35" s="181" customFormat="1" ht="13.5" thickBot="1">
      <c r="B132" s="275">
        <v>3600</v>
      </c>
      <c r="C132" s="276">
        <f t="shared" si="59"/>
        <v>0.94</v>
      </c>
      <c r="D132" s="266">
        <f t="shared" si="60"/>
        <v>52368.75</v>
      </c>
      <c r="E132" s="277"/>
      <c r="F132" s="278">
        <f t="shared" si="61"/>
        <v>49750.3125</v>
      </c>
      <c r="G132" s="279"/>
      <c r="H132" s="280">
        <f t="shared" si="57"/>
        <v>52368.75</v>
      </c>
      <c r="I132" s="184"/>
      <c r="J132" s="184"/>
      <c r="K132" s="184"/>
      <c r="L132" s="174"/>
      <c r="M132" s="184"/>
      <c r="N132" s="174"/>
      <c r="O132" s="174"/>
      <c r="P132" s="185"/>
      <c r="Q132" s="185"/>
      <c r="R132" s="174"/>
      <c r="S132" s="185"/>
      <c r="T132" s="174"/>
      <c r="U132" s="91"/>
      <c r="V132" s="174"/>
      <c r="W132" s="174"/>
      <c r="X132" s="185"/>
      <c r="Y132" s="174"/>
      <c r="Z132" s="174"/>
      <c r="AA132" s="184"/>
      <c r="AB132" s="185"/>
      <c r="AC132" s="185"/>
      <c r="AD132" s="185"/>
      <c r="AE132" s="185"/>
      <c r="AF132" s="185"/>
      <c r="AG132" s="185"/>
      <c r="AH132" s="185"/>
      <c r="AI132" s="185"/>
    </row>
    <row r="133" spans="2:35" s="181" customFormat="1" ht="12.75">
      <c r="B133" s="268"/>
      <c r="C133" s="184"/>
      <c r="D133" s="268"/>
      <c r="E133" s="281"/>
      <c r="F133" s="184"/>
      <c r="G133" s="274"/>
      <c r="H133" s="274"/>
      <c r="I133" s="184"/>
      <c r="J133" s="184"/>
      <c r="K133" s="184"/>
      <c r="L133" s="174"/>
      <c r="M133" s="184"/>
      <c r="N133" s="174"/>
      <c r="O133" s="174"/>
      <c r="P133" s="185"/>
      <c r="Q133" s="185"/>
      <c r="R133" s="174"/>
      <c r="S133" s="185"/>
      <c r="T133" s="174"/>
      <c r="U133" s="91"/>
      <c r="V133" s="174"/>
      <c r="W133" s="174"/>
      <c r="X133" s="185"/>
      <c r="Y133" s="174"/>
      <c r="Z133" s="174"/>
      <c r="AA133" s="184"/>
      <c r="AB133" s="185"/>
      <c r="AC133" s="185"/>
      <c r="AD133" s="185"/>
      <c r="AE133" s="185"/>
      <c r="AF133" s="185"/>
      <c r="AG133" s="185"/>
      <c r="AH133" s="185"/>
      <c r="AI133" s="185"/>
    </row>
    <row r="134" spans="1:35" ht="12.75">
      <c r="A134"/>
      <c r="B134"/>
      <c r="C134"/>
      <c r="D134"/>
      <c r="E134"/>
      <c r="F134"/>
      <c r="G134"/>
      <c r="H134"/>
      <c r="I134"/>
      <c r="J134"/>
      <c r="K134"/>
      <c r="L134" s="37"/>
      <c r="M134"/>
      <c r="N134"/>
      <c r="O134"/>
      <c r="P134"/>
      <c r="Q134"/>
      <c r="R134"/>
      <c r="S134" s="40"/>
      <c r="T134" s="41"/>
      <c r="U134" s="42"/>
      <c r="V134"/>
      <c r="W134" s="37"/>
      <c r="X134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</row>
    <row r="135" spans="1:35" s="26" customFormat="1" ht="12.75">
      <c r="A135"/>
      <c r="B135"/>
      <c r="C135"/>
      <c r="D135"/>
      <c r="E135"/>
      <c r="F135"/>
      <c r="G135"/>
      <c r="H135"/>
      <c r="I135"/>
      <c r="J135"/>
      <c r="K135"/>
      <c r="L135" s="37"/>
      <c r="M135"/>
      <c r="N135"/>
      <c r="O135"/>
      <c r="P135"/>
      <c r="Q135"/>
      <c r="R135"/>
      <c r="S135" s="40"/>
      <c r="T135" s="41"/>
      <c r="U135" s="42"/>
      <c r="V135"/>
      <c r="W135" s="37"/>
      <c r="X135"/>
      <c r="Y135" s="24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</row>
  </sheetData>
  <sheetProtection sheet="1" objects="1" scenarios="1"/>
  <printOptions/>
  <pageMargins left="0.75" right="0.75" top="1" bottom="1" header="0.4921259845" footer="0.4921259845"/>
  <pageSetup orientation="landscape" paperSize="9" r:id="rId2"/>
  <ignoredErrors>
    <ignoredError sqref="F13:F20 F46:F49 D46:D49 D21:F24 F74:F99 D63:D73 D25:D44 F25:F44 D45 F45 D13:D20 F63:F73 D74:D9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</dc:creator>
  <cp:keywords/>
  <dc:description/>
  <cp:lastModifiedBy>JPL</cp:lastModifiedBy>
  <cp:lastPrinted>2007-12-13T21:41:39Z</cp:lastPrinted>
  <dcterms:created xsi:type="dcterms:W3CDTF">2006-01-10T14:10:42Z</dcterms:created>
  <dcterms:modified xsi:type="dcterms:W3CDTF">2007-12-13T22:00:26Z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