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8735" windowHeight="8640"/>
  </bookViews>
  <sheets>
    <sheet name="Feuil1" sheetId="1" r:id="rId1"/>
    <sheet name="Etat G" sheetId="2" state="hidden" r:id="rId2"/>
    <sheet name="Equipement" sheetId="3" state="hidden" r:id="rId3"/>
  </sheets>
  <calcPr calcId="125725"/>
</workbook>
</file>

<file path=xl/calcChain.xml><?xml version="1.0" encoding="utf-8"?>
<calcChain xmlns="http://schemas.openxmlformats.org/spreadsheetml/2006/main">
  <c r="D54" i="3"/>
  <c r="E54" s="1"/>
  <c r="D55"/>
  <c r="E55" s="1"/>
  <c r="D56"/>
  <c r="E56" s="1"/>
  <c r="D57"/>
  <c r="E57" s="1"/>
  <c r="D58"/>
  <c r="E58" s="1"/>
  <c r="D59"/>
  <c r="E59" s="1"/>
  <c r="D60"/>
  <c r="E60" s="1"/>
  <c r="D61"/>
  <c r="E61" s="1"/>
  <c r="D62"/>
  <c r="E62" s="1"/>
  <c r="D63"/>
  <c r="E63" s="1"/>
  <c r="D64"/>
  <c r="E64" s="1"/>
  <c r="D65"/>
  <c r="E65" s="1"/>
  <c r="D53"/>
  <c r="E53" s="1"/>
  <c r="C53"/>
  <c r="C54"/>
  <c r="C55"/>
  <c r="C56"/>
  <c r="C57"/>
  <c r="C58"/>
  <c r="C59"/>
  <c r="C60"/>
  <c r="C61"/>
  <c r="C62"/>
  <c r="C63"/>
  <c r="C64"/>
  <c r="C65"/>
  <c r="F53"/>
  <c r="C47"/>
  <c r="C46"/>
  <c r="C45"/>
  <c r="C44"/>
  <c r="C43"/>
  <c r="C39"/>
  <c r="C38"/>
  <c r="C37"/>
  <c r="C36"/>
  <c r="C35"/>
  <c r="C31"/>
  <c r="C30"/>
  <c r="C29"/>
  <c r="C28"/>
  <c r="C27"/>
  <c r="C23"/>
  <c r="C22"/>
  <c r="C21"/>
  <c r="C20"/>
  <c r="C19"/>
  <c r="C15"/>
  <c r="C14"/>
  <c r="C13"/>
  <c r="C12"/>
  <c r="C11"/>
  <c r="C7"/>
  <c r="C6"/>
  <c r="C5"/>
  <c r="C4"/>
  <c r="C3"/>
  <c r="F5"/>
  <c r="C7" i="2"/>
  <c r="C6"/>
  <c r="C5"/>
  <c r="C42"/>
  <c r="C41"/>
  <c r="C40"/>
  <c r="C36"/>
  <c r="C35"/>
  <c r="C34"/>
  <c r="C30"/>
  <c r="C29"/>
  <c r="C28"/>
  <c r="C20"/>
  <c r="C22"/>
  <c r="C21"/>
  <c r="C14"/>
  <c r="C13"/>
  <c r="C12"/>
  <c r="C15"/>
  <c r="C4"/>
  <c r="C3"/>
  <c r="E66" i="3" l="1"/>
  <c r="C48"/>
  <c r="C49" s="1"/>
  <c r="C40"/>
  <c r="C41" s="1"/>
  <c r="C32"/>
  <c r="C33" s="1"/>
  <c r="C24"/>
  <c r="C25" s="1"/>
  <c r="C16"/>
  <c r="C17" s="1"/>
  <c r="C8"/>
  <c r="C9" s="1"/>
  <c r="C43" i="2"/>
  <c r="C44" s="1"/>
  <c r="C23"/>
  <c r="C24" s="1"/>
  <c r="C8"/>
  <c r="C9" s="1"/>
  <c r="C37"/>
  <c r="C38" s="1"/>
  <c r="C31"/>
  <c r="C32" s="1"/>
  <c r="C16"/>
  <c r="C17" s="1"/>
  <c r="B67" i="3" l="1"/>
  <c r="C46" i="2"/>
  <c r="B56" i="1" l="1"/>
  <c r="B57"/>
  <c r="B55"/>
  <c r="B62"/>
  <c r="B60"/>
  <c r="B63"/>
  <c r="B61"/>
  <c r="B54"/>
</calcChain>
</file>

<file path=xl/sharedStrings.xml><?xml version="1.0" encoding="utf-8"?>
<sst xmlns="http://schemas.openxmlformats.org/spreadsheetml/2006/main" count="143" uniqueCount="78">
  <si>
    <t>Type:</t>
  </si>
  <si>
    <t>Année:</t>
  </si>
  <si>
    <t>Lieu de vente:</t>
  </si>
  <si>
    <t>Département:</t>
  </si>
  <si>
    <t>Oui</t>
  </si>
  <si>
    <t>Non</t>
  </si>
  <si>
    <t>Moteur:</t>
  </si>
  <si>
    <t>Puissance:</t>
  </si>
  <si>
    <t>Généralités</t>
  </si>
  <si>
    <t>Electronique</t>
  </si>
  <si>
    <t>Loch</t>
  </si>
  <si>
    <t>Sondeur</t>
  </si>
  <si>
    <t>Girouette/anémo</t>
  </si>
  <si>
    <t>GPS</t>
  </si>
  <si>
    <t>VHF</t>
  </si>
  <si>
    <t>Pilote auto</t>
  </si>
  <si>
    <t>Voile</t>
  </si>
  <si>
    <t>Solent</t>
  </si>
  <si>
    <t>Tourmentin</t>
  </si>
  <si>
    <t>Prix</t>
  </si>
  <si>
    <t>Demandé</t>
  </si>
  <si>
    <t>Expertisé</t>
  </si>
  <si>
    <t>Vendu</t>
  </si>
  <si>
    <t>Etat général</t>
  </si>
  <si>
    <t>&gt; 10 ans</t>
  </si>
  <si>
    <t>Gréement dormant:</t>
  </si>
  <si>
    <t>Pont</t>
  </si>
  <si>
    <t>Coque</t>
  </si>
  <si>
    <t>Annexe</t>
  </si>
  <si>
    <t>Moteur</t>
  </si>
  <si>
    <t>Mouillage 1</t>
  </si>
  <si>
    <t>Mouillage 2</t>
  </si>
  <si>
    <t>Survie révisée</t>
  </si>
  <si>
    <t>Capote</t>
  </si>
  <si>
    <t>Bimini</t>
  </si>
  <si>
    <t>Equipements divers</t>
  </si>
  <si>
    <t>220V</t>
  </si>
  <si>
    <t>Panneaux solaires</t>
  </si>
  <si>
    <t>Eolienne</t>
  </si>
  <si>
    <t>Lest</t>
  </si>
  <si>
    <t>&gt; 10 ans (ancienne mais fonctionnelle)</t>
  </si>
  <si>
    <t>Sans</t>
  </si>
  <si>
    <t>Place de port</t>
  </si>
  <si>
    <t>Heures fonctionnement</t>
  </si>
  <si>
    <t>Etat Général: moteur; voile; gréement</t>
  </si>
  <si>
    <t>&lt; 2000</t>
  </si>
  <si>
    <t>Somme</t>
  </si>
  <si>
    <t>Résultat</t>
  </si>
  <si>
    <t>Jeu de voile</t>
  </si>
  <si>
    <t>Anciennes (&gt; 5 ans)</t>
  </si>
  <si>
    <t>Gréement 
dormant</t>
  </si>
  <si>
    <t>Bon (rien à faire)</t>
  </si>
  <si>
    <t>Moyen (quelques travaux à prévoir)</t>
  </si>
  <si>
    <t>Notation état général</t>
  </si>
  <si>
    <t>Très bon état</t>
  </si>
  <si>
    <t>Bon état</t>
  </si>
  <si>
    <t>Etat Moyen</t>
  </si>
  <si>
    <t>Mauvais état</t>
  </si>
  <si>
    <t>A</t>
  </si>
  <si>
    <t>B</t>
  </si>
  <si>
    <t>C</t>
  </si>
  <si>
    <t>D</t>
  </si>
  <si>
    <t>Spi et son équipement</t>
  </si>
  <si>
    <t>&lt; 10 ans (récente)</t>
  </si>
  <si>
    <t>Girouette</t>
  </si>
  <si>
    <t>Pilote</t>
  </si>
  <si>
    <t>Notation équipement</t>
  </si>
  <si>
    <t>Très bon</t>
  </si>
  <si>
    <t>Bon</t>
  </si>
  <si>
    <t>Moyen</t>
  </si>
  <si>
    <t>Faible</t>
  </si>
  <si>
    <t>Voiles et gréement dormant</t>
  </si>
  <si>
    <t>Jouet 920</t>
  </si>
  <si>
    <t>Port de Bouc</t>
  </si>
  <si>
    <t>Date de mise en vente</t>
  </si>
  <si>
    <t>Date de la vente</t>
  </si>
  <si>
    <t>Tirant d'eau (m):</t>
  </si>
  <si>
    <t>Longueur hors tout (m):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</si>
</sst>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990033"/>
      <name val="Verdana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0" fillId="0" borderId="1" xfId="0" applyFill="1" applyBorder="1"/>
    <xf numFmtId="0" fontId="0" fillId="0" borderId="2" xfId="0" applyBorder="1"/>
    <xf numFmtId="0" fontId="0" fillId="0" borderId="1" xfId="0" applyBorder="1" applyAlignment="1">
      <alignment horizontal="center" vertical="top"/>
    </xf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1" fillId="0" borderId="1" xfId="0" applyFont="1" applyFill="1" applyBorder="1"/>
    <xf numFmtId="9" fontId="0" fillId="0" borderId="0" xfId="0" applyNumberFormat="1"/>
    <xf numFmtId="0" fontId="2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1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1</xdr:row>
      <xdr:rowOff>19050</xdr:rowOff>
    </xdr:from>
    <xdr:to>
      <xdr:col>6</xdr:col>
      <xdr:colOff>561975</xdr:colOff>
      <xdr:row>8</xdr:row>
      <xdr:rowOff>142875</xdr:rowOff>
    </xdr:to>
    <xdr:sp macro="" textlink="">
      <xdr:nvSpPr>
        <xdr:cNvPr id="2" name="Bulle ronde 1"/>
        <xdr:cNvSpPr/>
      </xdr:nvSpPr>
      <xdr:spPr>
        <a:xfrm>
          <a:off x="4505325" y="219075"/>
          <a:ext cx="3600450" cy="1266825"/>
        </a:xfrm>
        <a:prstGeom prst="wedgeEllipseCallout">
          <a:avLst>
            <a:gd name="adj1" fmla="val -65013"/>
            <a:gd name="adj2" fmla="val 15422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2000"/>
            <a:t>Utilisez</a:t>
          </a:r>
          <a:r>
            <a:rPr lang="fr-FR" sz="2000" baseline="0"/>
            <a:t> les menus déroulants</a:t>
          </a:r>
          <a:endParaRPr lang="fr-FR" sz="2000"/>
        </a:p>
      </xdr:txBody>
    </xdr:sp>
    <xdr:clientData/>
  </xdr:twoCellAnchor>
  <xdr:twoCellAnchor>
    <xdr:from>
      <xdr:col>2</xdr:col>
      <xdr:colOff>847725</xdr:colOff>
      <xdr:row>39</xdr:row>
      <xdr:rowOff>9525</xdr:rowOff>
    </xdr:from>
    <xdr:to>
      <xdr:col>6</xdr:col>
      <xdr:colOff>666750</xdr:colOff>
      <xdr:row>49</xdr:row>
      <xdr:rowOff>28575</xdr:rowOff>
    </xdr:to>
    <xdr:sp macro="" textlink="">
      <xdr:nvSpPr>
        <xdr:cNvPr id="3" name="Bulle ronde 2"/>
        <xdr:cNvSpPr/>
      </xdr:nvSpPr>
      <xdr:spPr>
        <a:xfrm>
          <a:off x="4781550" y="7305675"/>
          <a:ext cx="3429000" cy="1933575"/>
        </a:xfrm>
        <a:prstGeom prst="wedgeEllipseCallout">
          <a:avLst>
            <a:gd name="adj1" fmla="val -85000"/>
            <a:gd name="adj2" fmla="val 8730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/>
            <a:t>Etat général =</a:t>
          </a:r>
        </a:p>
        <a:p>
          <a:pPr algn="ctr"/>
          <a:r>
            <a:rPr lang="fr-FR" sz="1100"/>
            <a:t>- moteur 40%</a:t>
          </a:r>
        </a:p>
        <a:p>
          <a:pPr algn="ctr"/>
          <a:r>
            <a:rPr lang="fr-FR" sz="1100"/>
            <a:t>-Voiles</a:t>
          </a:r>
          <a:r>
            <a:rPr lang="fr-FR" sz="1100" baseline="0"/>
            <a:t> 20%</a:t>
          </a:r>
        </a:p>
        <a:p>
          <a:pPr algn="ctr"/>
          <a:r>
            <a:rPr lang="fr-FR" sz="1100" baseline="0"/>
            <a:t>- Gréement  10%</a:t>
          </a:r>
        </a:p>
        <a:p>
          <a:pPr algn="ctr"/>
          <a:r>
            <a:rPr lang="fr-FR" sz="1100" baseline="0"/>
            <a:t>-Pont 10%</a:t>
          </a:r>
        </a:p>
        <a:p>
          <a:pPr algn="ctr"/>
          <a:r>
            <a:rPr lang="fr-FR" sz="1100" baseline="0"/>
            <a:t>-Coque 10%</a:t>
          </a:r>
        </a:p>
        <a:p>
          <a:pPr algn="ctr"/>
          <a:r>
            <a:rPr lang="fr-FR" sz="1100" baseline="0"/>
            <a:t>-Lest 10%</a:t>
          </a:r>
        </a:p>
        <a:p>
          <a:pPr algn="ctr"/>
          <a:endParaRPr lang="fr-FR" sz="1100"/>
        </a:p>
      </xdr:txBody>
    </xdr:sp>
    <xdr:clientData/>
  </xdr:twoCellAnchor>
  <xdr:twoCellAnchor>
    <xdr:from>
      <xdr:col>3</xdr:col>
      <xdr:colOff>161925</xdr:colOff>
      <xdr:row>49</xdr:row>
      <xdr:rowOff>123825</xdr:rowOff>
    </xdr:from>
    <xdr:to>
      <xdr:col>7</xdr:col>
      <xdr:colOff>466725</xdr:colOff>
      <xdr:row>58</xdr:row>
      <xdr:rowOff>133350</xdr:rowOff>
    </xdr:to>
    <xdr:sp macro="" textlink="">
      <xdr:nvSpPr>
        <xdr:cNvPr id="4" name="Bulle ronde 3"/>
        <xdr:cNvSpPr/>
      </xdr:nvSpPr>
      <xdr:spPr>
        <a:xfrm>
          <a:off x="5343525" y="9334500"/>
          <a:ext cx="3429000" cy="1352550"/>
        </a:xfrm>
        <a:prstGeom prst="wedgeEllipseCallout">
          <a:avLst>
            <a:gd name="adj1" fmla="val -105000"/>
            <a:gd name="adj2" fmla="val 4841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/>
            <a:t>Equipement=</a:t>
          </a:r>
        </a:p>
        <a:p>
          <a:pPr algn="ctr"/>
          <a:r>
            <a:rPr lang="fr-FR" sz="1100"/>
            <a:t>- Electronique</a:t>
          </a:r>
          <a:r>
            <a:rPr lang="fr-FR" sz="1100" baseline="0"/>
            <a:t> de base 75%</a:t>
          </a:r>
          <a:endParaRPr lang="fr-FR" sz="1100"/>
        </a:p>
        <a:p>
          <a:pPr algn="ctr"/>
          <a:r>
            <a:rPr lang="fr-FR" sz="1100"/>
            <a:t>-Divers</a:t>
          </a:r>
          <a:r>
            <a:rPr lang="fr-FR" sz="1100" baseline="0"/>
            <a:t> 25%</a:t>
          </a:r>
        </a:p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3"/>
  <sheetViews>
    <sheetView tabSelected="1" topLeftCell="A32" workbookViewId="0">
      <selection activeCell="B49" sqref="B49"/>
    </sheetView>
  </sheetViews>
  <sheetFormatPr baseColWidth="10" defaultRowHeight="15"/>
  <cols>
    <col min="1" max="1" width="22.7109375" customWidth="1"/>
    <col min="2" max="2" width="36.28515625" customWidth="1"/>
    <col min="3" max="3" width="18.7109375" customWidth="1"/>
    <col min="4" max="4" width="12.5703125" customWidth="1"/>
  </cols>
  <sheetData>
    <row r="1" spans="1:6" ht="15.75">
      <c r="A1" s="24" t="s">
        <v>8</v>
      </c>
      <c r="B1" s="24"/>
    </row>
    <row r="2" spans="1:6">
      <c r="A2" t="s">
        <v>0</v>
      </c>
      <c r="B2" s="22" t="s">
        <v>72</v>
      </c>
    </row>
    <row r="3" spans="1:6">
      <c r="A3" t="s">
        <v>1</v>
      </c>
      <c r="B3" s="22">
        <v>1980</v>
      </c>
    </row>
    <row r="4" spans="1:6">
      <c r="A4" t="s">
        <v>77</v>
      </c>
      <c r="B4" s="22">
        <v>9.1999999999999993</v>
      </c>
    </row>
    <row r="5" spans="1:6">
      <c r="A5" t="s">
        <v>76</v>
      </c>
      <c r="B5" s="22">
        <v>1.65</v>
      </c>
    </row>
    <row r="6" spans="1:6">
      <c r="A6" t="s">
        <v>2</v>
      </c>
      <c r="B6" s="22" t="s">
        <v>73</v>
      </c>
    </row>
    <row r="7" spans="1:6">
      <c r="A7" t="s">
        <v>3</v>
      </c>
      <c r="B7" s="22">
        <v>13</v>
      </c>
    </row>
    <row r="8" spans="1:6">
      <c r="B8" s="19"/>
    </row>
    <row r="9" spans="1:6">
      <c r="A9" t="s">
        <v>42</v>
      </c>
      <c r="B9" s="1" t="s">
        <v>4</v>
      </c>
    </row>
    <row r="11" spans="1:6" ht="15.75">
      <c r="A11" s="25" t="s">
        <v>6</v>
      </c>
      <c r="B11" s="25"/>
    </row>
    <row r="12" spans="1:6">
      <c r="A12" s="8" t="s">
        <v>7</v>
      </c>
      <c r="B12" s="21">
        <v>16</v>
      </c>
    </row>
    <row r="13" spans="1:6">
      <c r="A13" s="11" t="s">
        <v>43</v>
      </c>
      <c r="B13" s="1" t="s">
        <v>45</v>
      </c>
      <c r="C13" s="3"/>
      <c r="D13" s="3"/>
      <c r="E13" s="3"/>
      <c r="F13" s="3"/>
    </row>
    <row r="14" spans="1:6">
      <c r="A14" s="3"/>
      <c r="B14" s="3"/>
      <c r="C14" s="3"/>
      <c r="D14" s="3"/>
    </row>
    <row r="15" spans="1:6" ht="15.75">
      <c r="A15" s="25" t="s">
        <v>9</v>
      </c>
      <c r="B15" s="25"/>
    </row>
    <row r="16" spans="1:6">
      <c r="A16" s="2" t="s">
        <v>10</v>
      </c>
      <c r="B16" s="7" t="s">
        <v>40</v>
      </c>
      <c r="C16" s="27"/>
      <c r="D16" s="27"/>
      <c r="E16" s="3"/>
    </row>
    <row r="17" spans="1:5">
      <c r="A17" s="2" t="s">
        <v>11</v>
      </c>
      <c r="B17" s="1" t="s">
        <v>40</v>
      </c>
      <c r="C17" s="3"/>
      <c r="D17" s="3"/>
      <c r="E17" s="3"/>
    </row>
    <row r="18" spans="1:5">
      <c r="A18" s="2" t="s">
        <v>12</v>
      </c>
      <c r="B18" s="1" t="s">
        <v>41</v>
      </c>
      <c r="C18" s="3"/>
      <c r="D18" s="3"/>
      <c r="E18" s="3"/>
    </row>
    <row r="19" spans="1:5">
      <c r="A19" s="2" t="s">
        <v>13</v>
      </c>
      <c r="B19" s="1" t="s">
        <v>40</v>
      </c>
      <c r="C19" s="3"/>
      <c r="D19" s="3"/>
      <c r="E19" s="3"/>
    </row>
    <row r="20" spans="1:5">
      <c r="A20" s="2" t="s">
        <v>14</v>
      </c>
      <c r="B20" s="1" t="s">
        <v>40</v>
      </c>
      <c r="C20" s="3"/>
      <c r="D20" s="3"/>
      <c r="E20" s="3"/>
    </row>
    <row r="21" spans="1:5">
      <c r="A21" s="2" t="s">
        <v>15</v>
      </c>
      <c r="B21" s="1" t="s">
        <v>63</v>
      </c>
      <c r="C21" s="3"/>
      <c r="D21" s="3"/>
      <c r="E21" s="3"/>
    </row>
    <row r="23" spans="1:5" ht="15.75">
      <c r="A23" s="25" t="s">
        <v>71</v>
      </c>
      <c r="B23" s="25"/>
    </row>
    <row r="24" spans="1:5">
      <c r="A24" s="2" t="s">
        <v>48</v>
      </c>
      <c r="B24" s="10" t="s">
        <v>49</v>
      </c>
    </row>
    <row r="25" spans="1:5">
      <c r="A25" s="9" t="s">
        <v>25</v>
      </c>
      <c r="B25" s="1" t="s">
        <v>24</v>
      </c>
      <c r="C25" s="3"/>
      <c r="D25" s="3"/>
    </row>
    <row r="26" spans="1:5">
      <c r="A26" s="3"/>
      <c r="B26" s="3"/>
      <c r="C26" s="3"/>
      <c r="D26" s="3"/>
    </row>
    <row r="27" spans="1:5" ht="15.75">
      <c r="A27" s="25" t="s">
        <v>23</v>
      </c>
      <c r="B27" s="25"/>
      <c r="C27" s="3"/>
      <c r="D27" s="3"/>
    </row>
    <row r="28" spans="1:5">
      <c r="A28" s="5" t="s">
        <v>26</v>
      </c>
      <c r="B28" s="1" t="s">
        <v>52</v>
      </c>
      <c r="C28" s="6"/>
      <c r="D28" s="4"/>
      <c r="E28" s="4"/>
    </row>
    <row r="29" spans="1:5">
      <c r="A29" s="5" t="s">
        <v>27</v>
      </c>
      <c r="B29" s="1" t="s">
        <v>51</v>
      </c>
      <c r="C29" s="6"/>
      <c r="D29" s="4"/>
      <c r="E29" s="4"/>
    </row>
    <row r="30" spans="1:5">
      <c r="A30" s="5" t="s">
        <v>39</v>
      </c>
      <c r="B30" s="1" t="s">
        <v>51</v>
      </c>
      <c r="C30" s="6"/>
      <c r="D30" s="4"/>
      <c r="E30" s="4"/>
    </row>
    <row r="31" spans="1:5">
      <c r="A31" s="3"/>
      <c r="B31" s="3"/>
      <c r="C31" s="3"/>
      <c r="D31" s="3"/>
      <c r="E31" s="3"/>
    </row>
    <row r="32" spans="1:5" ht="15.75">
      <c r="A32" s="26" t="s">
        <v>35</v>
      </c>
      <c r="B32" s="26"/>
      <c r="C32" s="3"/>
      <c r="D32" s="3"/>
      <c r="E32" s="3"/>
    </row>
    <row r="33" spans="1:5">
      <c r="A33" s="5" t="s">
        <v>28</v>
      </c>
      <c r="B33" s="18" t="s">
        <v>4</v>
      </c>
      <c r="C33" s="3"/>
      <c r="D33" s="3"/>
      <c r="E33" s="3"/>
    </row>
    <row r="34" spans="1:5">
      <c r="A34" s="5" t="s">
        <v>29</v>
      </c>
      <c r="B34" s="18" t="s">
        <v>4</v>
      </c>
      <c r="C34" s="3"/>
      <c r="D34" s="3"/>
      <c r="E34" s="3"/>
    </row>
    <row r="35" spans="1:5">
      <c r="A35" s="5" t="s">
        <v>30</v>
      </c>
      <c r="B35" s="18" t="s">
        <v>4</v>
      </c>
      <c r="C35" s="3"/>
      <c r="D35" s="3"/>
      <c r="E35" s="3"/>
    </row>
    <row r="36" spans="1:5">
      <c r="A36" s="5" t="s">
        <v>31</v>
      </c>
      <c r="B36" s="18" t="s">
        <v>4</v>
      </c>
      <c r="C36" s="4"/>
      <c r="D36" s="3"/>
      <c r="E36" s="3"/>
    </row>
    <row r="37" spans="1:5">
      <c r="A37" s="2" t="s">
        <v>32</v>
      </c>
      <c r="B37" s="18" t="s">
        <v>4</v>
      </c>
      <c r="C37" s="3"/>
      <c r="D37" s="3"/>
      <c r="E37" s="3"/>
    </row>
    <row r="38" spans="1:5">
      <c r="A38" s="2" t="s">
        <v>33</v>
      </c>
      <c r="B38" s="18" t="s">
        <v>5</v>
      </c>
      <c r="C38" s="3"/>
      <c r="D38" s="3"/>
      <c r="E38" s="3"/>
    </row>
    <row r="39" spans="1:5">
      <c r="A39" s="2" t="s">
        <v>34</v>
      </c>
      <c r="B39" s="18" t="s">
        <v>5</v>
      </c>
    </row>
    <row r="40" spans="1:5">
      <c r="A40" s="2" t="s">
        <v>36</v>
      </c>
      <c r="B40" s="18" t="s">
        <v>4</v>
      </c>
    </row>
    <row r="41" spans="1:5">
      <c r="A41" s="2" t="s">
        <v>37</v>
      </c>
      <c r="B41" s="18" t="s">
        <v>5</v>
      </c>
    </row>
    <row r="42" spans="1:5">
      <c r="A42" s="2" t="s">
        <v>38</v>
      </c>
      <c r="B42" s="18" t="s">
        <v>5</v>
      </c>
    </row>
    <row r="43" spans="1:5">
      <c r="A43" s="2" t="s">
        <v>18</v>
      </c>
      <c r="B43" s="18" t="s">
        <v>4</v>
      </c>
    </row>
    <row r="44" spans="1:5">
      <c r="A44" s="2" t="s">
        <v>17</v>
      </c>
      <c r="B44" s="18" t="s">
        <v>5</v>
      </c>
    </row>
    <row r="45" spans="1:5">
      <c r="A45" s="2" t="s">
        <v>62</v>
      </c>
      <c r="B45" s="18" t="s">
        <v>4</v>
      </c>
    </row>
    <row r="47" spans="1:5" ht="15.75">
      <c r="A47" s="23" t="s">
        <v>19</v>
      </c>
      <c r="B47" s="23"/>
    </row>
    <row r="48" spans="1:5">
      <c r="A48" t="s">
        <v>20</v>
      </c>
      <c r="B48" s="20">
        <v>21000</v>
      </c>
    </row>
    <row r="49" spans="1:3">
      <c r="A49" t="s">
        <v>21</v>
      </c>
      <c r="B49" s="20">
        <v>18500</v>
      </c>
    </row>
    <row r="50" spans="1:3">
      <c r="A50" t="s">
        <v>22</v>
      </c>
      <c r="B50" s="20">
        <v>18000</v>
      </c>
    </row>
    <row r="51" spans="1:3">
      <c r="A51" t="s">
        <v>74</v>
      </c>
      <c r="B51" s="20"/>
    </row>
    <row r="52" spans="1:3">
      <c r="A52" t="s">
        <v>75</v>
      </c>
      <c r="B52" s="20"/>
    </row>
    <row r="53" spans="1:3" ht="15.75">
      <c r="A53" s="23" t="s">
        <v>53</v>
      </c>
      <c r="B53" s="23"/>
      <c r="C53" s="23"/>
    </row>
    <row r="54" spans="1:3">
      <c r="A54" s="15" t="s">
        <v>58</v>
      </c>
      <c r="B54" s="16" t="str">
        <f>IF(AND('Etat G'!C46&gt;74, 'Etat G'!C46&lt;101),"X", " ")</f>
        <v xml:space="preserve"> </v>
      </c>
      <c r="C54" s="15" t="s">
        <v>54</v>
      </c>
    </row>
    <row r="55" spans="1:3">
      <c r="A55" s="15" t="s">
        <v>59</v>
      </c>
      <c r="B55" s="16" t="str">
        <f>IF(AND('Etat G'!C46&gt;49, 'Etat G'!C46&lt;75),"X", " ")</f>
        <v>X</v>
      </c>
      <c r="C55" s="15" t="s">
        <v>55</v>
      </c>
    </row>
    <row r="56" spans="1:3">
      <c r="A56" s="15" t="s">
        <v>60</v>
      </c>
      <c r="B56" s="16" t="str">
        <f>IF(AND('Etat G'!C46&gt;24, 'Etat G'!C46&lt;50),"X", " ")</f>
        <v xml:space="preserve"> </v>
      </c>
      <c r="C56" s="15" t="s">
        <v>56</v>
      </c>
    </row>
    <row r="57" spans="1:3">
      <c r="A57" s="15" t="s">
        <v>61</v>
      </c>
      <c r="B57" s="16" t="str">
        <f>IF(AND('Etat G'!C46&gt;=0, 'Etat G'!C46&lt;25),"X", " ")</f>
        <v xml:space="preserve"> </v>
      </c>
      <c r="C57" s="15" t="s">
        <v>57</v>
      </c>
    </row>
    <row r="59" spans="1:3" ht="15.75">
      <c r="A59" s="23" t="s">
        <v>66</v>
      </c>
      <c r="B59" s="23"/>
      <c r="C59" s="23"/>
    </row>
    <row r="60" spans="1:3">
      <c r="A60" s="15" t="s">
        <v>58</v>
      </c>
      <c r="B60" s="16" t="str">
        <f>IF(AND(Equipement!B67&gt;74, Equipement!B67&lt;101),"X", " ")</f>
        <v xml:space="preserve"> </v>
      </c>
      <c r="C60" s="15" t="s">
        <v>67</v>
      </c>
    </row>
    <row r="61" spans="1:3">
      <c r="A61" s="15" t="s">
        <v>59</v>
      </c>
      <c r="B61" s="16" t="str">
        <f>IF(AND(Equipement!B67&gt;49, Equipement!B68&lt;75),"X", " ")</f>
        <v xml:space="preserve"> </v>
      </c>
      <c r="C61" s="15" t="s">
        <v>68</v>
      </c>
    </row>
    <row r="62" spans="1:3">
      <c r="A62" s="15" t="s">
        <v>60</v>
      </c>
      <c r="B62" s="16" t="str">
        <f>IF(AND(Equipement!B67&gt;24,Equipement!B67&lt;50),"X", " ")</f>
        <v xml:space="preserve"> </v>
      </c>
      <c r="C62" s="15" t="s">
        <v>69</v>
      </c>
    </row>
    <row r="63" spans="1:3">
      <c r="A63" s="15" t="s">
        <v>61</v>
      </c>
      <c r="B63" s="16" t="str">
        <f>IF(AND(Equipement!B67&gt;=0, Equipement!B67&lt;25),"X", " ")</f>
        <v>X</v>
      </c>
      <c r="C63" s="15" t="s">
        <v>70</v>
      </c>
    </row>
  </sheetData>
  <sheetProtection password="C956" sheet="1" objects="1" scenarios="1"/>
  <dataConsolidate/>
  <mergeCells count="10">
    <mergeCell ref="A53:C53"/>
    <mergeCell ref="A59:C59"/>
    <mergeCell ref="A1:B1"/>
    <mergeCell ref="A11:B11"/>
    <mergeCell ref="A15:B15"/>
    <mergeCell ref="A23:B23"/>
    <mergeCell ref="A27:B27"/>
    <mergeCell ref="A32:B32"/>
    <mergeCell ref="A47:B47"/>
    <mergeCell ref="C16:D16"/>
  </mergeCells>
  <dataValidations count="7">
    <dataValidation type="list" allowBlank="1" showInputMessage="1" showErrorMessage="1" sqref="B33:B45 B9">
      <formula1>"Oui, Non"</formula1>
    </dataValidation>
    <dataValidation type="list" allowBlank="1" showInputMessage="1" showErrorMessage="1" sqref="B28:B30">
      <formula1>"Bon (rien à faire), Moyen (quelques travaux à prévoir), Réfection importante"</formula1>
    </dataValidation>
    <dataValidation type="list" allowBlank="1" showInputMessage="1" showErrorMessage="1" sqref="B25">
      <formula1>"&lt; 5 ans, &lt; 10 ans, &gt; 10 ans"</formula1>
    </dataValidation>
    <dataValidation type="list" allowBlank="1" showInputMessage="1" showErrorMessage="1" sqref="B24">
      <formula1>"Neuves (&lt; 2 ans), Récentes (&lt;5 ans), Anciennes (&gt; 5 ans), A changer"</formula1>
    </dataValidation>
    <dataValidation type="list" allowBlank="1" showInputMessage="1" showErrorMessage="1" promptTitle="Choisir dans le menu" sqref="B16">
      <formula1>"Sans, &lt; 2 ans (neuve), &lt; 5 ans (très récente), &lt; 10 ans (récente), &gt; 10 ans (ancienne mais fonctionnelle)"</formula1>
    </dataValidation>
    <dataValidation type="list" allowBlank="1" showInputMessage="1" showErrorMessage="1" sqref="B17:B21">
      <formula1>"Sans, &lt; 2 ans (neuve), &lt; 5 ans (très récente), &lt; 10 ans (récente), &gt; 10 ans (ancienne mais fonctionnelle)"</formula1>
    </dataValidation>
    <dataValidation type="list" allowBlank="1" showInputMessage="1" showErrorMessage="1" sqref="B13">
      <formula1>"&lt; 500, &lt; 2000, &lt; 5000, &gt; 5000, A changer"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6"/>
  <sheetViews>
    <sheetView topLeftCell="A20" workbookViewId="0">
      <selection activeCell="E45" sqref="E45"/>
    </sheetView>
  </sheetViews>
  <sheetFormatPr baseColWidth="10" defaultRowHeight="15"/>
  <cols>
    <col min="3" max="3" width="12.5703125" bestFit="1" customWidth="1"/>
  </cols>
  <sheetData>
    <row r="1" spans="1:3">
      <c r="A1" t="s">
        <v>44</v>
      </c>
    </row>
    <row r="3" spans="1:3">
      <c r="A3" t="s">
        <v>6</v>
      </c>
      <c r="B3" s="12">
        <v>0.4</v>
      </c>
      <c r="C3" s="13">
        <f>IF(Feuil1!B13="&lt; 500",100,0)</f>
        <v>0</v>
      </c>
    </row>
    <row r="4" spans="1:3">
      <c r="C4" s="13">
        <f>IF(Feuil1!B13="&lt; 2000",50,0)</f>
        <v>50</v>
      </c>
    </row>
    <row r="5" spans="1:3">
      <c r="C5" s="13">
        <f>IF(Feuil1!B13="&lt; 5000",25,0)</f>
        <v>0</v>
      </c>
    </row>
    <row r="6" spans="1:3">
      <c r="C6" s="13">
        <f>IF(Feuil1!B13="&gt; 5000",5,0)</f>
        <v>0</v>
      </c>
    </row>
    <row r="7" spans="1:3">
      <c r="C7" s="13">
        <f>IF(Feuil1!B13="A changer",5,0)</f>
        <v>0</v>
      </c>
    </row>
    <row r="8" spans="1:3">
      <c r="B8" t="s">
        <v>46</v>
      </c>
      <c r="C8" s="13">
        <f>SUM(C3:C7)</f>
        <v>50</v>
      </c>
    </row>
    <row r="9" spans="1:3">
      <c r="B9" t="s">
        <v>47</v>
      </c>
      <c r="C9">
        <f>40*C8/100</f>
        <v>20</v>
      </c>
    </row>
    <row r="12" spans="1:3">
      <c r="A12" t="s">
        <v>16</v>
      </c>
      <c r="B12" s="12">
        <v>0.2</v>
      </c>
      <c r="C12" s="13">
        <f>IF(Feuil1!B24="Neuves (&lt; 2 ans)",100,0)</f>
        <v>0</v>
      </c>
    </row>
    <row r="13" spans="1:3">
      <c r="C13" s="13">
        <f>IF(Feuil1!B24="Récentes (&lt;5 ans)",50,0)</f>
        <v>0</v>
      </c>
    </row>
    <row r="14" spans="1:3">
      <c r="C14" s="13">
        <f>IF(Feuil1!B24="Anciennes (&gt; 5 ans)",25,0)</f>
        <v>25</v>
      </c>
    </row>
    <row r="15" spans="1:3">
      <c r="C15" s="13">
        <f>IF(Feuil1!B24="A changer",0,0)</f>
        <v>0</v>
      </c>
    </row>
    <row r="16" spans="1:3">
      <c r="B16" t="s">
        <v>46</v>
      </c>
      <c r="C16">
        <f>SUM(C12:C15)</f>
        <v>25</v>
      </c>
    </row>
    <row r="17" spans="1:3">
      <c r="B17" t="s">
        <v>47</v>
      </c>
      <c r="C17">
        <f>20*C16/100</f>
        <v>5</v>
      </c>
    </row>
    <row r="20" spans="1:3" ht="30">
      <c r="A20" s="14" t="s">
        <v>50</v>
      </c>
      <c r="B20">
        <v>10</v>
      </c>
      <c r="C20" s="13">
        <f>IF(Feuil1!B25="&lt; 5 ans",100,0)</f>
        <v>0</v>
      </c>
    </row>
    <row r="21" spans="1:3">
      <c r="C21" s="13">
        <f>IF(Feuil1!B25="&lt; 10 ans",50,0)</f>
        <v>0</v>
      </c>
    </row>
    <row r="22" spans="1:3">
      <c r="C22" s="13">
        <f>IF(Feuil1!B25="&gt; 10 ans",0,0)</f>
        <v>0</v>
      </c>
    </row>
    <row r="23" spans="1:3">
      <c r="B23" t="s">
        <v>46</v>
      </c>
      <c r="C23">
        <f>SUM(C20:C22)</f>
        <v>0</v>
      </c>
    </row>
    <row r="24" spans="1:3">
      <c r="B24" t="s">
        <v>47</v>
      </c>
      <c r="C24">
        <f>10*C23/100</f>
        <v>0</v>
      </c>
    </row>
    <row r="28" spans="1:3">
      <c r="A28" t="s">
        <v>26</v>
      </c>
      <c r="B28">
        <v>10</v>
      </c>
      <c r="C28" s="13">
        <f>IF(Feuil1!B28="Bon (rien à faire)",100,0)</f>
        <v>0</v>
      </c>
    </row>
    <row r="29" spans="1:3">
      <c r="C29" s="13">
        <f>IF(Feuil1!B28="Moyen (quelques travaux à prévoir)",50,0)</f>
        <v>50</v>
      </c>
    </row>
    <row r="30" spans="1:3">
      <c r="C30" s="13">
        <f>IF(Feuil1!B28="Réfection importante",0,0)</f>
        <v>0</v>
      </c>
    </row>
    <row r="31" spans="1:3">
      <c r="B31" t="s">
        <v>46</v>
      </c>
      <c r="C31">
        <f>SUM(C28:C30)</f>
        <v>50</v>
      </c>
    </row>
    <row r="32" spans="1:3">
      <c r="B32" t="s">
        <v>47</v>
      </c>
      <c r="C32">
        <f>10*C31/100</f>
        <v>5</v>
      </c>
    </row>
    <row r="34" spans="1:3">
      <c r="A34" t="s">
        <v>27</v>
      </c>
      <c r="B34">
        <v>10</v>
      </c>
      <c r="C34" s="13">
        <f>IF(Feuil1!B29="Bon (rien à faire)",100,0)</f>
        <v>100</v>
      </c>
    </row>
    <row r="35" spans="1:3">
      <c r="C35" s="13">
        <f>IF(Feuil1!B29="Moyen (quelques travaux à prévoir)",50,0)</f>
        <v>0</v>
      </c>
    </row>
    <row r="36" spans="1:3">
      <c r="C36" s="13">
        <f>IF(Feuil1!B29="Réfection importante",0,0)</f>
        <v>0</v>
      </c>
    </row>
    <row r="37" spans="1:3">
      <c r="B37" t="s">
        <v>46</v>
      </c>
      <c r="C37">
        <f>SUM(C34:C36)</f>
        <v>100</v>
      </c>
    </row>
    <row r="38" spans="1:3">
      <c r="B38" t="s">
        <v>47</v>
      </c>
      <c r="C38">
        <f>10*C37/100</f>
        <v>10</v>
      </c>
    </row>
    <row r="40" spans="1:3">
      <c r="A40" t="s">
        <v>39</v>
      </c>
      <c r="B40">
        <v>10</v>
      </c>
      <c r="C40" s="13">
        <f>IF(Feuil1!B30="Bon (rien à faire)",100,0)</f>
        <v>100</v>
      </c>
    </row>
    <row r="41" spans="1:3">
      <c r="C41" s="13">
        <f>IF(Feuil1!B30="Moyen (quelques travaux à prévoir)",50,0)</f>
        <v>0</v>
      </c>
    </row>
    <row r="42" spans="1:3">
      <c r="C42" s="13">
        <f>IF(Feuil1!B30="Réfection importante",0,0)</f>
        <v>0</v>
      </c>
    </row>
    <row r="43" spans="1:3">
      <c r="B43" t="s">
        <v>46</v>
      </c>
      <c r="C43">
        <f>SUM(C40:C42)</f>
        <v>100</v>
      </c>
    </row>
    <row r="44" spans="1:3">
      <c r="B44" t="s">
        <v>47</v>
      </c>
      <c r="C44">
        <f>10*C43/100</f>
        <v>10</v>
      </c>
    </row>
    <row r="46" spans="1:3">
      <c r="A46" t="s">
        <v>47</v>
      </c>
      <c r="C46">
        <f>C44+C38+C32+C24+C17+C9</f>
        <v>50</v>
      </c>
    </row>
  </sheetData>
  <sheetProtection password="C956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F67"/>
  <sheetViews>
    <sheetView topLeftCell="A51" workbookViewId="0">
      <selection activeCell="C77" sqref="C77"/>
    </sheetView>
  </sheetViews>
  <sheetFormatPr baseColWidth="10" defaultRowHeight="15"/>
  <cols>
    <col min="1" max="1" width="21.28515625" bestFit="1" customWidth="1"/>
  </cols>
  <sheetData>
    <row r="3" spans="1:6">
      <c r="A3" t="s">
        <v>10</v>
      </c>
      <c r="B3" s="12">
        <v>0.125</v>
      </c>
      <c r="C3" s="13">
        <f>IF(Feuil1!B16="Sans",0,0)</f>
        <v>0</v>
      </c>
    </row>
    <row r="4" spans="1:6">
      <c r="C4" s="13">
        <f>IF(Feuil1!B16="&lt; 2 ans (neuve)",100,0)</f>
        <v>0</v>
      </c>
    </row>
    <row r="5" spans="1:6">
      <c r="C5" s="13">
        <f>IF(Feuil1!B16="&lt; 5 ans (très récente)",75,0)</f>
        <v>0</v>
      </c>
      <c r="F5">
        <f>75/6</f>
        <v>12.5</v>
      </c>
    </row>
    <row r="6" spans="1:6">
      <c r="C6" s="13">
        <f>IF(Feuil1!B16="&lt; 10 ans (récente)",50,0)</f>
        <v>0</v>
      </c>
    </row>
    <row r="7" spans="1:6">
      <c r="C7" s="13">
        <f>IF(Feuil1!B16="&gt; 10 ans (ancienne mais fonctionnelle)",10,0)</f>
        <v>10</v>
      </c>
    </row>
    <row r="8" spans="1:6">
      <c r="B8" t="s">
        <v>46</v>
      </c>
      <c r="C8" s="13">
        <f>SUM(C3:C7)</f>
        <v>10</v>
      </c>
    </row>
    <row r="9" spans="1:6">
      <c r="B9" t="s">
        <v>47</v>
      </c>
      <c r="C9">
        <f>12.5*C8/100</f>
        <v>1.25</v>
      </c>
    </row>
    <row r="11" spans="1:6">
      <c r="A11" t="s">
        <v>11</v>
      </c>
      <c r="B11" s="12">
        <v>0.125</v>
      </c>
      <c r="C11" s="13">
        <f>IF(Feuil1!B17="Sans",0,0)</f>
        <v>0</v>
      </c>
    </row>
    <row r="12" spans="1:6">
      <c r="C12" s="13">
        <f>IF(Feuil1!B17="&lt; 2 ans (neuve)",100,0)</f>
        <v>0</v>
      </c>
    </row>
    <row r="13" spans="1:6">
      <c r="C13" s="13">
        <f>IF(Feuil1!B17="&lt; 5 ans (très récente)",75,0)</f>
        <v>0</v>
      </c>
    </row>
    <row r="14" spans="1:6">
      <c r="C14" s="13">
        <f>IF(Feuil1!B17="&lt; 10 ans (récente)",50,0)</f>
        <v>0</v>
      </c>
    </row>
    <row r="15" spans="1:6">
      <c r="C15" s="13">
        <f>IF(Feuil1!B17="&gt; 10 ans (ancienne mais fonctionnelle)",10,0)</f>
        <v>10</v>
      </c>
    </row>
    <row r="16" spans="1:6">
      <c r="B16" t="s">
        <v>46</v>
      </c>
      <c r="C16" s="13">
        <f>SUM(C11:C15)</f>
        <v>10</v>
      </c>
    </row>
    <row r="17" spans="1:3">
      <c r="B17" t="s">
        <v>47</v>
      </c>
      <c r="C17">
        <f>12.5*C16/100</f>
        <v>1.25</v>
      </c>
    </row>
    <row r="19" spans="1:3">
      <c r="A19" t="s">
        <v>64</v>
      </c>
      <c r="B19" s="12">
        <v>0.125</v>
      </c>
      <c r="C19" s="13">
        <f>IF(Feuil1!B18="Sans",0,0)</f>
        <v>0</v>
      </c>
    </row>
    <row r="20" spans="1:3">
      <c r="C20" s="13">
        <f>IF(Feuil1!B18="&lt; 2 ans (neuve)",100,0)</f>
        <v>0</v>
      </c>
    </row>
    <row r="21" spans="1:3">
      <c r="C21" s="13">
        <f>IF(Feuil1!B18="&lt; 5 ans (très récente)",75,0)</f>
        <v>0</v>
      </c>
    </row>
    <row r="22" spans="1:3">
      <c r="C22" s="13">
        <f>IF(Feuil1!B18="&lt; 10 ans (récente)",50,0)</f>
        <v>0</v>
      </c>
    </row>
    <row r="23" spans="1:3">
      <c r="C23" s="13">
        <f>IF(Feuil1!B18="&gt; 10 ans (ancienne mais fonctionnelle)",10,0)</f>
        <v>0</v>
      </c>
    </row>
    <row r="24" spans="1:3">
      <c r="B24" t="s">
        <v>46</v>
      </c>
      <c r="C24" s="13">
        <f>SUM(C19:C23)</f>
        <v>0</v>
      </c>
    </row>
    <row r="25" spans="1:3">
      <c r="B25" t="s">
        <v>47</v>
      </c>
      <c r="C25">
        <f>12.5*C24/100</f>
        <v>0</v>
      </c>
    </row>
    <row r="27" spans="1:3">
      <c r="A27" t="s">
        <v>13</v>
      </c>
      <c r="B27" s="12">
        <v>0.125</v>
      </c>
      <c r="C27" s="13">
        <f>IF(Feuil1!B19="Sans",0,0)</f>
        <v>0</v>
      </c>
    </row>
    <row r="28" spans="1:3">
      <c r="C28" s="13">
        <f>IF(Feuil1!B19="&lt; 2 ans (neuve)",100,0)</f>
        <v>0</v>
      </c>
    </row>
    <row r="29" spans="1:3">
      <c r="C29" s="13">
        <f>IF(Feuil1!B19="&lt; 5 ans (très récente)",75,0)</f>
        <v>0</v>
      </c>
    </row>
    <row r="30" spans="1:3">
      <c r="C30" s="13">
        <f>IF(Feuil1!B19="&lt; 10 ans (récente)",50,0)</f>
        <v>0</v>
      </c>
    </row>
    <row r="31" spans="1:3">
      <c r="C31" s="13">
        <f>IF(Feuil1!B19="&gt; 10 ans (ancienne mais fonctionnelle)",10,0)</f>
        <v>10</v>
      </c>
    </row>
    <row r="32" spans="1:3">
      <c r="B32" t="s">
        <v>46</v>
      </c>
      <c r="C32" s="13">
        <f>SUM(C27:C31)</f>
        <v>10</v>
      </c>
    </row>
    <row r="33" spans="1:3">
      <c r="B33" t="s">
        <v>47</v>
      </c>
      <c r="C33">
        <f>12.5*C32/100</f>
        <v>1.25</v>
      </c>
    </row>
    <row r="35" spans="1:3">
      <c r="A35" t="s">
        <v>14</v>
      </c>
      <c r="B35" s="12">
        <v>0.125</v>
      </c>
      <c r="C35" s="13">
        <f>IF(Feuil1!B19="Sans",0,0)</f>
        <v>0</v>
      </c>
    </row>
    <row r="36" spans="1:3">
      <c r="C36" s="13">
        <f>IF(Feuil1!B19="&lt; 2 ans (neuve)",100,0)</f>
        <v>0</v>
      </c>
    </row>
    <row r="37" spans="1:3">
      <c r="C37" s="13">
        <f>IF(Feuil1!B19="&lt; 5 ans (très récente)",75,0)</f>
        <v>0</v>
      </c>
    </row>
    <row r="38" spans="1:3">
      <c r="C38" s="13">
        <f>IF(Feuil1!B19="&lt; 10 ans (récente)",50,0)</f>
        <v>0</v>
      </c>
    </row>
    <row r="39" spans="1:3">
      <c r="C39" s="13">
        <f>IF(Feuil1!B19="&gt; 10 ans (ancienne mais fonctionnelle)",10,0)</f>
        <v>10</v>
      </c>
    </row>
    <row r="40" spans="1:3">
      <c r="B40" t="s">
        <v>46</v>
      </c>
      <c r="C40" s="13">
        <f>SUM(C35:C39)</f>
        <v>10</v>
      </c>
    </row>
    <row r="41" spans="1:3">
      <c r="B41" t="s">
        <v>47</v>
      </c>
      <c r="C41">
        <f>12.5*C40/100</f>
        <v>1.25</v>
      </c>
    </row>
    <row r="43" spans="1:3">
      <c r="A43" t="s">
        <v>65</v>
      </c>
      <c r="B43" s="12">
        <v>0.125</v>
      </c>
      <c r="C43" s="13">
        <f>IF(Feuil1!B20="Sans",0,0)</f>
        <v>0</v>
      </c>
    </row>
    <row r="44" spans="1:3">
      <c r="C44" s="13">
        <f>IF(Feuil1!B20="&lt; 2 ans (neuve)",100,0)</f>
        <v>0</v>
      </c>
    </row>
    <row r="45" spans="1:3">
      <c r="C45" s="13">
        <f>IF(Feuil1!B20="&lt; 5 ans (très récente)",75,0)</f>
        <v>0</v>
      </c>
    </row>
    <row r="46" spans="1:3">
      <c r="C46" s="13">
        <f>IF(Feuil1!B20="&lt; 10 ans (récente)",50,0)</f>
        <v>0</v>
      </c>
    </row>
    <row r="47" spans="1:3">
      <c r="C47" s="13">
        <f>IF(Feuil1!B20="&gt; 10 ans (ancienne mais fonctionnelle)",10,0)</f>
        <v>10</v>
      </c>
    </row>
    <row r="48" spans="1:3">
      <c r="B48" t="s">
        <v>46</v>
      </c>
      <c r="C48" s="13">
        <f>SUM(C43:C47)</f>
        <v>10</v>
      </c>
    </row>
    <row r="49" spans="1:6">
      <c r="B49" t="s">
        <v>47</v>
      </c>
      <c r="C49">
        <f>12.5*C48/100</f>
        <v>1.25</v>
      </c>
    </row>
    <row r="53" spans="1:6">
      <c r="A53" s="4" t="s">
        <v>28</v>
      </c>
      <c r="B53">
        <v>2</v>
      </c>
      <c r="C53" s="13">
        <f>0.926*B53</f>
        <v>1.8520000000000001</v>
      </c>
      <c r="D53" s="13">
        <f>IF(Feuil1!B33="Oui",1,0)</f>
        <v>1</v>
      </c>
      <c r="E53">
        <f>D53*C53</f>
        <v>1.8520000000000001</v>
      </c>
      <c r="F53">
        <f>25/27</f>
        <v>0.92592592592592593</v>
      </c>
    </row>
    <row r="54" spans="1:6">
      <c r="A54" s="4" t="s">
        <v>29</v>
      </c>
      <c r="B54">
        <v>2</v>
      </c>
      <c r="C54" s="13">
        <f t="shared" ref="C54:C65" si="0">0.926*B54</f>
        <v>1.8520000000000001</v>
      </c>
      <c r="D54" s="13">
        <f>IF(Feuil1!B34="Oui",1,0)</f>
        <v>1</v>
      </c>
      <c r="E54">
        <f t="shared" ref="E54:E65" si="1">D54*C54</f>
        <v>1.8520000000000001</v>
      </c>
    </row>
    <row r="55" spans="1:6">
      <c r="A55" s="4" t="s">
        <v>30</v>
      </c>
      <c r="B55">
        <v>1</v>
      </c>
      <c r="C55" s="13">
        <f t="shared" si="0"/>
        <v>0.92600000000000005</v>
      </c>
      <c r="D55" s="13">
        <f>IF(Feuil1!B35="Oui",1,0)</f>
        <v>1</v>
      </c>
      <c r="E55">
        <f t="shared" si="1"/>
        <v>0.92600000000000005</v>
      </c>
    </row>
    <row r="56" spans="1:6">
      <c r="A56" s="4" t="s">
        <v>31</v>
      </c>
      <c r="B56">
        <v>1</v>
      </c>
      <c r="C56" s="13">
        <f t="shared" si="0"/>
        <v>0.92600000000000005</v>
      </c>
      <c r="D56" s="13">
        <f>IF(Feuil1!B36="Oui",1,0)</f>
        <v>1</v>
      </c>
      <c r="E56">
        <f t="shared" si="1"/>
        <v>0.92600000000000005</v>
      </c>
    </row>
    <row r="57" spans="1:6">
      <c r="A57" s="3" t="s">
        <v>32</v>
      </c>
      <c r="B57">
        <v>2</v>
      </c>
      <c r="C57" s="13">
        <f t="shared" si="0"/>
        <v>1.8520000000000001</v>
      </c>
      <c r="D57" s="13">
        <f>IF(Feuil1!B37="Oui",1,0)</f>
        <v>1</v>
      </c>
      <c r="E57">
        <f t="shared" si="1"/>
        <v>1.8520000000000001</v>
      </c>
    </row>
    <row r="58" spans="1:6">
      <c r="A58" s="3" t="s">
        <v>33</v>
      </c>
      <c r="B58">
        <v>2</v>
      </c>
      <c r="C58" s="13">
        <f t="shared" si="0"/>
        <v>1.8520000000000001</v>
      </c>
      <c r="D58" s="13">
        <f>IF(Feuil1!B38="Oui",1,0)</f>
        <v>0</v>
      </c>
      <c r="E58">
        <f t="shared" si="1"/>
        <v>0</v>
      </c>
    </row>
    <row r="59" spans="1:6">
      <c r="A59" s="3" t="s">
        <v>34</v>
      </c>
      <c r="B59">
        <v>2</v>
      </c>
      <c r="C59" s="13">
        <f t="shared" si="0"/>
        <v>1.8520000000000001</v>
      </c>
      <c r="D59" s="13">
        <f>IF(Feuil1!B39="Oui",1,0)</f>
        <v>0</v>
      </c>
      <c r="E59">
        <f t="shared" si="1"/>
        <v>0</v>
      </c>
    </row>
    <row r="60" spans="1:6">
      <c r="A60" t="s">
        <v>36</v>
      </c>
      <c r="B60">
        <v>2</v>
      </c>
      <c r="C60" s="13">
        <f t="shared" si="0"/>
        <v>1.8520000000000001</v>
      </c>
      <c r="D60" s="13">
        <f>IF(Feuil1!B40="Oui",1,0)</f>
        <v>1</v>
      </c>
      <c r="E60">
        <f t="shared" si="1"/>
        <v>1.8520000000000001</v>
      </c>
    </row>
    <row r="61" spans="1:6">
      <c r="A61" t="s">
        <v>37</v>
      </c>
      <c r="B61">
        <v>3</v>
      </c>
      <c r="C61" s="13">
        <f t="shared" si="0"/>
        <v>2.778</v>
      </c>
      <c r="D61" s="13">
        <f>IF(Feuil1!B41="Oui",1,0)</f>
        <v>0</v>
      </c>
      <c r="E61">
        <f t="shared" si="1"/>
        <v>0</v>
      </c>
    </row>
    <row r="62" spans="1:6">
      <c r="A62" t="s">
        <v>38</v>
      </c>
      <c r="B62">
        <v>3</v>
      </c>
      <c r="C62" s="13">
        <f t="shared" si="0"/>
        <v>2.778</v>
      </c>
      <c r="D62" s="13">
        <f>IF(Feuil1!B42="Oui",1,0)</f>
        <v>0</v>
      </c>
      <c r="E62">
        <f t="shared" si="1"/>
        <v>0</v>
      </c>
    </row>
    <row r="63" spans="1:6">
      <c r="A63" t="s">
        <v>18</v>
      </c>
      <c r="B63">
        <v>1</v>
      </c>
      <c r="C63" s="13">
        <f t="shared" si="0"/>
        <v>0.92600000000000005</v>
      </c>
      <c r="D63" s="13">
        <f>IF(Feuil1!B43="Oui",1,0)</f>
        <v>1</v>
      </c>
      <c r="E63">
        <f t="shared" si="1"/>
        <v>0.92600000000000005</v>
      </c>
    </row>
    <row r="64" spans="1:6">
      <c r="A64" t="s">
        <v>17</v>
      </c>
      <c r="B64">
        <v>3</v>
      </c>
      <c r="C64" s="13">
        <f t="shared" si="0"/>
        <v>2.778</v>
      </c>
      <c r="D64" s="13">
        <f>IF(Feuil1!B44="Oui",1,0)</f>
        <v>0</v>
      </c>
      <c r="E64">
        <f t="shared" si="1"/>
        <v>0</v>
      </c>
    </row>
    <row r="65" spans="1:5">
      <c r="A65" t="s">
        <v>62</v>
      </c>
      <c r="B65">
        <v>3</v>
      </c>
      <c r="C65" s="13">
        <f t="shared" si="0"/>
        <v>2.778</v>
      </c>
      <c r="D65" s="13">
        <f>IF(Feuil1!B45="Oui",1,0)</f>
        <v>1</v>
      </c>
      <c r="E65">
        <f t="shared" si="1"/>
        <v>2.778</v>
      </c>
    </row>
    <row r="66" spans="1:5">
      <c r="E66" s="17">
        <f>SUM(E53:E65)</f>
        <v>12.964</v>
      </c>
    </row>
    <row r="67" spans="1:5">
      <c r="A67" t="s">
        <v>47</v>
      </c>
      <c r="B67" s="17">
        <f>E66+C49+C41+C33+C25+C17+C9</f>
        <v>19.213999999999999</v>
      </c>
    </row>
  </sheetData>
  <sheetProtection password="C95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Etat G</vt:lpstr>
      <vt:lpstr>Equipement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2012-04-29T20:42:13Z</dcterms:created>
  <dcterms:modified xsi:type="dcterms:W3CDTF">2012-05-03T19:04:06Z</dcterms:modified>
</cp:coreProperties>
</file>